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giacomo/Dropbox/Catarina/Savini/4 IOL Post Lasik/"/>
    </mc:Choice>
  </mc:AlternateContent>
  <xr:revisionPtr revIDLastSave="0" documentId="13_ncr:1_{DD7E3383-FE50-C54D-9D82-CAFB84BB3C41}" xr6:coauthVersionLast="36" xr6:coauthVersionMax="47" xr10:uidLastSave="{00000000-0000-0000-0000-000000000000}"/>
  <bookViews>
    <workbookView xWindow="0" yWindow="580" windowWidth="33140" windowHeight="20240" xr2:uid="{00000000-000D-0000-FFFF-FFFF00000000}"/>
  </bookViews>
  <sheets>
    <sheet name="TK Italy Colombia" sheetId="7" r:id="rId1"/>
  </sheets>
  <calcPr calcId="162913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3" i="7" l="1"/>
  <c r="B114" i="7"/>
  <c r="B113" i="7"/>
  <c r="C55" i="7" l="1"/>
  <c r="B56" i="7"/>
  <c r="B55" i="7"/>
  <c r="S72" i="7" l="1"/>
  <c r="T72" i="7"/>
  <c r="U72" i="7"/>
  <c r="X72" i="7" s="1"/>
  <c r="Y72" i="7"/>
  <c r="S73" i="7"/>
  <c r="T73" i="7"/>
  <c r="U73" i="7"/>
  <c r="X73" i="7" s="1"/>
  <c r="W73" i="7"/>
  <c r="Y73" i="7"/>
  <c r="S74" i="7"/>
  <c r="T74" i="7"/>
  <c r="U74" i="7"/>
  <c r="X74" i="7" s="1"/>
  <c r="Y74" i="7"/>
  <c r="S75" i="7"/>
  <c r="T75" i="7"/>
  <c r="U75" i="7"/>
  <c r="X75" i="7" s="1"/>
  <c r="Y75" i="7"/>
  <c r="S76" i="7"/>
  <c r="T76" i="7"/>
  <c r="U76" i="7"/>
  <c r="X76" i="7" s="1"/>
  <c r="Y76" i="7"/>
  <c r="S77" i="7"/>
  <c r="T77" i="7"/>
  <c r="W77" i="7" s="1"/>
  <c r="U77" i="7"/>
  <c r="X77" i="7" s="1"/>
  <c r="Y77" i="7"/>
  <c r="S78" i="7"/>
  <c r="T78" i="7"/>
  <c r="U78" i="7"/>
  <c r="X78" i="7" s="1"/>
  <c r="Y78" i="7"/>
  <c r="S79" i="7"/>
  <c r="T79" i="7"/>
  <c r="U79" i="7"/>
  <c r="X79" i="7" s="1"/>
  <c r="Y79" i="7"/>
  <c r="S80" i="7"/>
  <c r="T80" i="7"/>
  <c r="U80" i="7"/>
  <c r="X80" i="7" s="1"/>
  <c r="Y80" i="7"/>
  <c r="S81" i="7"/>
  <c r="T81" i="7"/>
  <c r="U81" i="7"/>
  <c r="X81" i="7" s="1"/>
  <c r="Y81" i="7"/>
  <c r="S82" i="7"/>
  <c r="T82" i="7"/>
  <c r="U82" i="7"/>
  <c r="X82" i="7" s="1"/>
  <c r="Y82" i="7"/>
  <c r="S83" i="7"/>
  <c r="T83" i="7"/>
  <c r="U83" i="7"/>
  <c r="X83" i="7" s="1"/>
  <c r="Y83" i="7"/>
  <c r="S84" i="7"/>
  <c r="T84" i="7"/>
  <c r="U84" i="7"/>
  <c r="X84" i="7" s="1"/>
  <c r="Y84" i="7"/>
  <c r="S85" i="7"/>
  <c r="T85" i="7"/>
  <c r="U85" i="7"/>
  <c r="X85" i="7" s="1"/>
  <c r="Y85" i="7"/>
  <c r="S86" i="7"/>
  <c r="T86" i="7"/>
  <c r="U86" i="7"/>
  <c r="X86" i="7" s="1"/>
  <c r="Y86" i="7"/>
  <c r="S87" i="7"/>
  <c r="T87" i="7"/>
  <c r="U87" i="7"/>
  <c r="X87" i="7" s="1"/>
  <c r="Y87" i="7"/>
  <c r="S88" i="7"/>
  <c r="T88" i="7"/>
  <c r="U88" i="7"/>
  <c r="X88" i="7" s="1"/>
  <c r="Y88" i="7"/>
  <c r="S89" i="7"/>
  <c r="T89" i="7"/>
  <c r="U89" i="7"/>
  <c r="X89" i="7" s="1"/>
  <c r="Y89" i="7"/>
  <c r="S90" i="7"/>
  <c r="T90" i="7"/>
  <c r="U90" i="7"/>
  <c r="X90" i="7" s="1"/>
  <c r="Y90" i="7"/>
  <c r="S91" i="7"/>
  <c r="T91" i="7"/>
  <c r="U91" i="7"/>
  <c r="X91" i="7" s="1"/>
  <c r="Y91" i="7"/>
  <c r="S92" i="7"/>
  <c r="T92" i="7"/>
  <c r="U92" i="7"/>
  <c r="X92" i="7" s="1"/>
  <c r="Y92" i="7"/>
  <c r="S93" i="7"/>
  <c r="T93" i="7"/>
  <c r="U93" i="7"/>
  <c r="X93" i="7" s="1"/>
  <c r="Y93" i="7"/>
  <c r="S94" i="7"/>
  <c r="T94" i="7"/>
  <c r="U94" i="7"/>
  <c r="X94" i="7" s="1"/>
  <c r="Y94" i="7"/>
  <c r="S95" i="7"/>
  <c r="T95" i="7"/>
  <c r="U95" i="7"/>
  <c r="X95" i="7" s="1"/>
  <c r="Y95" i="7"/>
  <c r="S96" i="7"/>
  <c r="T96" i="7"/>
  <c r="U96" i="7"/>
  <c r="X96" i="7" s="1"/>
  <c r="Y96" i="7"/>
  <c r="S97" i="7"/>
  <c r="T97" i="7"/>
  <c r="U97" i="7"/>
  <c r="X97" i="7" s="1"/>
  <c r="Y97" i="7"/>
  <c r="S98" i="7"/>
  <c r="T98" i="7"/>
  <c r="U98" i="7"/>
  <c r="X98" i="7" s="1"/>
  <c r="Y98" i="7"/>
  <c r="S99" i="7"/>
  <c r="T99" i="7"/>
  <c r="U99" i="7"/>
  <c r="X99" i="7" s="1"/>
  <c r="Y99" i="7"/>
  <c r="S100" i="7"/>
  <c r="T100" i="7"/>
  <c r="U100" i="7"/>
  <c r="X100" i="7" s="1"/>
  <c r="Y100" i="7"/>
  <c r="S101" i="7"/>
  <c r="T101" i="7"/>
  <c r="U101" i="7"/>
  <c r="X101" i="7" s="1"/>
  <c r="Y101" i="7"/>
  <c r="S102" i="7"/>
  <c r="T102" i="7"/>
  <c r="U102" i="7"/>
  <c r="X102" i="7" s="1"/>
  <c r="Y102" i="7"/>
  <c r="S103" i="7"/>
  <c r="T103" i="7"/>
  <c r="U103" i="7"/>
  <c r="X103" i="7" s="1"/>
  <c r="Y103" i="7"/>
  <c r="S104" i="7"/>
  <c r="T104" i="7"/>
  <c r="U104" i="7"/>
  <c r="X104" i="7" s="1"/>
  <c r="Y104" i="7"/>
  <c r="S105" i="7"/>
  <c r="T105" i="7"/>
  <c r="U105" i="7"/>
  <c r="X105" i="7" s="1"/>
  <c r="Y105" i="7"/>
  <c r="S106" i="7"/>
  <c r="T106" i="7"/>
  <c r="U106" i="7"/>
  <c r="X106" i="7" s="1"/>
  <c r="Y106" i="7"/>
  <c r="S107" i="7"/>
  <c r="T107" i="7"/>
  <c r="U107" i="7"/>
  <c r="X107" i="7" s="1"/>
  <c r="Y107" i="7"/>
  <c r="S108" i="7"/>
  <c r="T108" i="7"/>
  <c r="U108" i="7"/>
  <c r="X108" i="7" s="1"/>
  <c r="Y108" i="7"/>
  <c r="S109" i="7"/>
  <c r="T109" i="7"/>
  <c r="U109" i="7"/>
  <c r="X109" i="7" s="1"/>
  <c r="Y109" i="7"/>
  <c r="S110" i="7"/>
  <c r="T110" i="7"/>
  <c r="U110" i="7"/>
  <c r="X110" i="7" s="1"/>
  <c r="Y110" i="7"/>
  <c r="S111" i="7"/>
  <c r="T111" i="7"/>
  <c r="U111" i="7"/>
  <c r="X111" i="7" s="1"/>
  <c r="Y111" i="7"/>
  <c r="Y71" i="7"/>
  <c r="U71" i="7"/>
  <c r="X71" i="7" s="1"/>
  <c r="T71" i="7"/>
  <c r="S71" i="7"/>
  <c r="Y70" i="7"/>
  <c r="U70" i="7"/>
  <c r="X70" i="7" s="1"/>
  <c r="T70" i="7"/>
  <c r="S70" i="7"/>
  <c r="O111" i="7"/>
  <c r="O110" i="7"/>
  <c r="O109" i="7"/>
  <c r="O108" i="7"/>
  <c r="O107" i="7"/>
  <c r="O106" i="7"/>
  <c r="O105" i="7"/>
  <c r="O104" i="7"/>
  <c r="O103" i="7"/>
  <c r="O102" i="7"/>
  <c r="O101" i="7"/>
  <c r="M100" i="7"/>
  <c r="O100" i="7" s="1"/>
  <c r="O99" i="7"/>
  <c r="O98" i="7"/>
  <c r="O97" i="7"/>
  <c r="O96" i="7"/>
  <c r="O95" i="7"/>
  <c r="O94" i="7"/>
  <c r="M93" i="7"/>
  <c r="O93" i="7" s="1"/>
  <c r="O92" i="7"/>
  <c r="M91" i="7"/>
  <c r="O91" i="7" s="1"/>
  <c r="O90" i="7"/>
  <c r="O89" i="7"/>
  <c r="O88" i="7"/>
  <c r="O87" i="7"/>
  <c r="O86" i="7"/>
  <c r="O85" i="7"/>
  <c r="O84" i="7"/>
  <c r="O83" i="7"/>
  <c r="O82" i="7"/>
  <c r="O81" i="7"/>
  <c r="O80" i="7"/>
  <c r="M79" i="7"/>
  <c r="O79" i="7" s="1"/>
  <c r="O78" i="7"/>
  <c r="O77" i="7"/>
  <c r="O76" i="7"/>
  <c r="O75" i="7"/>
  <c r="O74" i="7"/>
  <c r="O73" i="7"/>
  <c r="O72" i="7"/>
  <c r="O71" i="7"/>
  <c r="O70" i="7"/>
  <c r="U49" i="7"/>
  <c r="X49" i="7" s="1"/>
  <c r="S49" i="7"/>
  <c r="T49" i="7"/>
  <c r="Y49" i="7"/>
  <c r="S37" i="7"/>
  <c r="T37" i="7"/>
  <c r="U37" i="7"/>
  <c r="X37" i="7" s="1"/>
  <c r="Y37" i="7"/>
  <c r="S38" i="7"/>
  <c r="T38" i="7"/>
  <c r="U38" i="7"/>
  <c r="X38" i="7" s="1"/>
  <c r="Y38" i="7"/>
  <c r="S39" i="7"/>
  <c r="T39" i="7"/>
  <c r="U39" i="7"/>
  <c r="X39" i="7" s="1"/>
  <c r="Y39" i="7"/>
  <c r="S40" i="7"/>
  <c r="T40" i="7"/>
  <c r="U40" i="7"/>
  <c r="X40" i="7" s="1"/>
  <c r="Y40" i="7"/>
  <c r="S41" i="7"/>
  <c r="T41" i="7"/>
  <c r="U41" i="7"/>
  <c r="X41" i="7" s="1"/>
  <c r="Y41" i="7"/>
  <c r="S42" i="7"/>
  <c r="T42" i="7"/>
  <c r="U42" i="7"/>
  <c r="X42" i="7" s="1"/>
  <c r="Y42" i="7"/>
  <c r="S43" i="7"/>
  <c r="T43" i="7"/>
  <c r="U43" i="7"/>
  <c r="X43" i="7" s="1"/>
  <c r="Y43" i="7"/>
  <c r="S44" i="7"/>
  <c r="T44" i="7"/>
  <c r="U44" i="7"/>
  <c r="X44" i="7" s="1"/>
  <c r="Y44" i="7"/>
  <c r="S45" i="7"/>
  <c r="T45" i="7"/>
  <c r="U45" i="7"/>
  <c r="X45" i="7" s="1"/>
  <c r="Y45" i="7"/>
  <c r="S46" i="7"/>
  <c r="T46" i="7"/>
  <c r="U46" i="7"/>
  <c r="X46" i="7" s="1"/>
  <c r="Y46" i="7"/>
  <c r="S47" i="7"/>
  <c r="T47" i="7"/>
  <c r="U47" i="7"/>
  <c r="X47" i="7" s="1"/>
  <c r="Y47" i="7"/>
  <c r="S48" i="7"/>
  <c r="T48" i="7"/>
  <c r="U48" i="7"/>
  <c r="X48" i="7" s="1"/>
  <c r="Y48" i="7"/>
  <c r="S50" i="7"/>
  <c r="T50" i="7"/>
  <c r="U50" i="7"/>
  <c r="X50" i="7" s="1"/>
  <c r="Y50" i="7"/>
  <c r="S51" i="7"/>
  <c r="T51" i="7"/>
  <c r="U51" i="7"/>
  <c r="X51" i="7" s="1"/>
  <c r="Y51" i="7"/>
  <c r="S52" i="7"/>
  <c r="T52" i="7"/>
  <c r="U52" i="7"/>
  <c r="X52" i="7" s="1"/>
  <c r="Y52" i="7"/>
  <c r="S53" i="7"/>
  <c r="T53" i="7"/>
  <c r="U53" i="7"/>
  <c r="X53" i="7" s="1"/>
  <c r="Y53" i="7"/>
  <c r="Y36" i="7"/>
  <c r="U36" i="7"/>
  <c r="X36" i="7" s="1"/>
  <c r="T36" i="7"/>
  <c r="S36" i="7"/>
  <c r="Y35" i="7"/>
  <c r="U35" i="7"/>
  <c r="X35" i="7" s="1"/>
  <c r="T35" i="7"/>
  <c r="S35" i="7"/>
  <c r="Y34" i="7"/>
  <c r="U34" i="7"/>
  <c r="X34" i="7" s="1"/>
  <c r="T34" i="7"/>
  <c r="S34" i="7"/>
  <c r="CA53" i="7"/>
  <c r="O53" i="7"/>
  <c r="O52" i="7"/>
  <c r="O51" i="7"/>
  <c r="O50" i="7"/>
  <c r="O48" i="7"/>
  <c r="M47" i="7"/>
  <c r="O47" i="7" s="1"/>
  <c r="O46" i="7"/>
  <c r="O45" i="7"/>
  <c r="O44" i="7"/>
  <c r="O43" i="7"/>
  <c r="O42" i="7"/>
  <c r="M41" i="7"/>
  <c r="O41" i="7" s="1"/>
  <c r="O39" i="7"/>
  <c r="O38" i="7"/>
  <c r="O37" i="7"/>
  <c r="O36" i="7"/>
  <c r="O35" i="7"/>
  <c r="O34" i="7"/>
  <c r="Y33" i="7"/>
  <c r="U33" i="7"/>
  <c r="X33" i="7" s="1"/>
  <c r="T33" i="7"/>
  <c r="S33" i="7"/>
  <c r="O33" i="7"/>
  <c r="Y32" i="7"/>
  <c r="U32" i="7"/>
  <c r="X32" i="7" s="1"/>
  <c r="T32" i="7"/>
  <c r="S32" i="7"/>
  <c r="O32" i="7"/>
  <c r="Y31" i="7"/>
  <c r="U31" i="7"/>
  <c r="X31" i="7" s="1"/>
  <c r="T31" i="7"/>
  <c r="S31" i="7"/>
  <c r="O31" i="7"/>
  <c r="Y30" i="7"/>
  <c r="U30" i="7"/>
  <c r="X30" i="7" s="1"/>
  <c r="T30" i="7"/>
  <c r="S30" i="7"/>
  <c r="Y29" i="7"/>
  <c r="U29" i="7"/>
  <c r="X29" i="7" s="1"/>
  <c r="T29" i="7"/>
  <c r="S29" i="7"/>
  <c r="O29" i="7"/>
  <c r="Y28" i="7"/>
  <c r="U28" i="7"/>
  <c r="X28" i="7" s="1"/>
  <c r="T28" i="7"/>
  <c r="S28" i="7"/>
  <c r="O28" i="7"/>
  <c r="Y27" i="7"/>
  <c r="U27" i="7"/>
  <c r="X27" i="7" s="1"/>
  <c r="T27" i="7"/>
  <c r="S27" i="7"/>
  <c r="O27" i="7"/>
  <c r="Y26" i="7"/>
  <c r="U26" i="7"/>
  <c r="X26" i="7" s="1"/>
  <c r="T26" i="7"/>
  <c r="S26" i="7"/>
  <c r="O26" i="7"/>
  <c r="Y25" i="7"/>
  <c r="U25" i="7"/>
  <c r="X25" i="7" s="1"/>
  <c r="T25" i="7"/>
  <c r="S25" i="7"/>
  <c r="O25" i="7"/>
  <c r="Y24" i="7"/>
  <c r="U24" i="7"/>
  <c r="X24" i="7" s="1"/>
  <c r="T24" i="7"/>
  <c r="S24" i="7"/>
  <c r="O24" i="7"/>
  <c r="Y23" i="7"/>
  <c r="U23" i="7"/>
  <c r="X23" i="7" s="1"/>
  <c r="T23" i="7"/>
  <c r="S23" i="7"/>
  <c r="O23" i="7"/>
  <c r="Y22" i="7"/>
  <c r="U22" i="7"/>
  <c r="X22" i="7" s="1"/>
  <c r="T22" i="7"/>
  <c r="S22" i="7"/>
  <c r="O22" i="7"/>
  <c r="Y21" i="7"/>
  <c r="U21" i="7"/>
  <c r="X21" i="7" s="1"/>
  <c r="T21" i="7"/>
  <c r="S21" i="7"/>
  <c r="O21" i="7"/>
  <c r="Y20" i="7"/>
  <c r="U20" i="7"/>
  <c r="X20" i="7" s="1"/>
  <c r="T20" i="7"/>
  <c r="S20" i="7"/>
  <c r="O20" i="7"/>
  <c r="Y19" i="7"/>
  <c r="U19" i="7"/>
  <c r="X19" i="7" s="1"/>
  <c r="T19" i="7"/>
  <c r="S19" i="7"/>
  <c r="O19" i="7"/>
  <c r="Y18" i="7"/>
  <c r="U18" i="7"/>
  <c r="X18" i="7" s="1"/>
  <c r="T18" i="7"/>
  <c r="S18" i="7"/>
  <c r="O18" i="7"/>
  <c r="Y17" i="7"/>
  <c r="U17" i="7"/>
  <c r="X17" i="7" s="1"/>
  <c r="T17" i="7"/>
  <c r="S17" i="7"/>
  <c r="O17" i="7"/>
  <c r="Y16" i="7"/>
  <c r="U16" i="7"/>
  <c r="X16" i="7" s="1"/>
  <c r="T16" i="7"/>
  <c r="S16" i="7"/>
  <c r="O16" i="7"/>
  <c r="Y15" i="7"/>
  <c r="U15" i="7"/>
  <c r="X15" i="7" s="1"/>
  <c r="T15" i="7"/>
  <c r="S15" i="7"/>
  <c r="O15" i="7"/>
  <c r="Y14" i="7"/>
  <c r="U14" i="7"/>
  <c r="X14" i="7" s="1"/>
  <c r="T14" i="7"/>
  <c r="S14" i="7"/>
  <c r="O14" i="7"/>
  <c r="Y13" i="7"/>
  <c r="U13" i="7"/>
  <c r="X13" i="7" s="1"/>
  <c r="T13" i="7"/>
  <c r="S13" i="7"/>
  <c r="O13" i="7"/>
  <c r="Y12" i="7"/>
  <c r="U12" i="7"/>
  <c r="X12" i="7" s="1"/>
  <c r="T12" i="7"/>
  <c r="S12" i="7"/>
  <c r="O12" i="7"/>
  <c r="Y11" i="7"/>
  <c r="U11" i="7"/>
  <c r="X11" i="7" s="1"/>
  <c r="T11" i="7"/>
  <c r="S11" i="7"/>
  <c r="O11" i="7"/>
  <c r="Y10" i="7"/>
  <c r="U10" i="7"/>
  <c r="X10" i="7" s="1"/>
  <c r="T10" i="7"/>
  <c r="S10" i="7"/>
  <c r="O10" i="7"/>
  <c r="Y9" i="7"/>
  <c r="U9" i="7"/>
  <c r="X9" i="7" s="1"/>
  <c r="T9" i="7"/>
  <c r="S9" i="7"/>
  <c r="O9" i="7"/>
  <c r="Y8" i="7"/>
  <c r="U8" i="7"/>
  <c r="X8" i="7" s="1"/>
  <c r="T8" i="7"/>
  <c r="S8" i="7"/>
  <c r="O8" i="7"/>
  <c r="Y7" i="7"/>
  <c r="U7" i="7"/>
  <c r="X7" i="7" s="1"/>
  <c r="T7" i="7"/>
  <c r="S7" i="7"/>
  <c r="O7" i="7"/>
  <c r="Y6" i="7"/>
  <c r="U6" i="7"/>
  <c r="X6" i="7" s="1"/>
  <c r="T6" i="7"/>
  <c r="S6" i="7"/>
  <c r="O6" i="7"/>
  <c r="Y5" i="7"/>
  <c r="U5" i="7"/>
  <c r="X5" i="7" s="1"/>
  <c r="T5" i="7"/>
  <c r="S5" i="7"/>
  <c r="O5" i="7"/>
  <c r="Y4" i="7"/>
  <c r="U4" i="7"/>
  <c r="X4" i="7" s="1"/>
  <c r="T4" i="7"/>
  <c r="S4" i="7"/>
  <c r="O4" i="7"/>
  <c r="Y3" i="7"/>
  <c r="U3" i="7"/>
  <c r="X3" i="7" s="1"/>
  <c r="T3" i="7"/>
  <c r="S3" i="7"/>
  <c r="O3" i="7"/>
  <c r="W72" i="7" l="1"/>
  <c r="Z72" i="7" s="1"/>
  <c r="W74" i="7"/>
  <c r="Z74" i="7" s="1"/>
  <c r="W86" i="7"/>
  <c r="Z86" i="7" s="1"/>
  <c r="AD72" i="7"/>
  <c r="W89" i="7"/>
  <c r="AA89" i="7" s="1"/>
  <c r="W85" i="7"/>
  <c r="Z85" i="7" s="1"/>
  <c r="W98" i="7"/>
  <c r="Z98" i="7" s="1"/>
  <c r="W93" i="7"/>
  <c r="Z93" i="7" s="1"/>
  <c r="W105" i="7"/>
  <c r="AD105" i="7" s="1"/>
  <c r="W102" i="7"/>
  <c r="AA102" i="7" s="1"/>
  <c r="W100" i="7"/>
  <c r="Z100" i="7" s="1"/>
  <c r="W92" i="7"/>
  <c r="Z92" i="7" s="1"/>
  <c r="W109" i="7"/>
  <c r="AC109" i="7" s="1"/>
  <c r="W101" i="7"/>
  <c r="AA101" i="7" s="1"/>
  <c r="W78" i="7"/>
  <c r="AC78" i="7" s="1"/>
  <c r="W88" i="7"/>
  <c r="AD88" i="7" s="1"/>
  <c r="W97" i="7"/>
  <c r="AA97" i="7" s="1"/>
  <c r="W83" i="7"/>
  <c r="AA83" i="7" s="1"/>
  <c r="Z77" i="7"/>
  <c r="W104" i="7"/>
  <c r="AD104" i="7" s="1"/>
  <c r="W90" i="7"/>
  <c r="AD90" i="7" s="1"/>
  <c r="W76" i="7"/>
  <c r="AC76" i="7" s="1"/>
  <c r="W99" i="7"/>
  <c r="AA99" i="7" s="1"/>
  <c r="W82" i="7"/>
  <c r="Z82" i="7" s="1"/>
  <c r="W108" i="7"/>
  <c r="AC108" i="7" s="1"/>
  <c r="W103" i="7"/>
  <c r="AD103" i="7" s="1"/>
  <c r="Z73" i="7"/>
  <c r="W107" i="7"/>
  <c r="AA107" i="7" s="1"/>
  <c r="W96" i="7"/>
  <c r="AA96" i="7" s="1"/>
  <c r="AA86" i="7"/>
  <c r="W91" i="7"/>
  <c r="AD91" i="7" s="1"/>
  <c r="W81" i="7"/>
  <c r="Z81" i="7" s="1"/>
  <c r="W94" i="7"/>
  <c r="AD94" i="7" s="1"/>
  <c r="AA77" i="7"/>
  <c r="W70" i="7"/>
  <c r="AD70" i="7" s="1"/>
  <c r="W106" i="7"/>
  <c r="AD106" i="7" s="1"/>
  <c r="W111" i="7"/>
  <c r="AA111" i="7" s="1"/>
  <c r="W75" i="7"/>
  <c r="AC75" i="7" s="1"/>
  <c r="W84" i="7"/>
  <c r="Z84" i="7" s="1"/>
  <c r="W80" i="7"/>
  <c r="AC80" i="7" s="1"/>
  <c r="AA73" i="7"/>
  <c r="W95" i="7"/>
  <c r="AA95" i="7" s="1"/>
  <c r="AA74" i="7"/>
  <c r="W110" i="7"/>
  <c r="AC110" i="7" s="1"/>
  <c r="W79" i="7"/>
  <c r="AA79" i="7" s="1"/>
  <c r="AC77" i="7"/>
  <c r="W87" i="7"/>
  <c r="Z87" i="7" s="1"/>
  <c r="AC73" i="7"/>
  <c r="AA72" i="7"/>
  <c r="AD86" i="7"/>
  <c r="AD74" i="7"/>
  <c r="AC86" i="7"/>
  <c r="AC74" i="7"/>
  <c r="AD77" i="7"/>
  <c r="AD73" i="7"/>
  <c r="W71" i="7"/>
  <c r="AD71" i="7" s="1"/>
  <c r="W49" i="7"/>
  <c r="Z49" i="7" s="1"/>
  <c r="W51" i="7"/>
  <c r="AA51" i="7" s="1"/>
  <c r="W39" i="7"/>
  <c r="AA39" i="7" s="1"/>
  <c r="W4" i="7"/>
  <c r="Z4" i="7" s="1"/>
  <c r="W20" i="7"/>
  <c r="AD20" i="7" s="1"/>
  <c r="W34" i="7"/>
  <c r="AA34" i="7" s="1"/>
  <c r="W42" i="7"/>
  <c r="AA42" i="7" s="1"/>
  <c r="W35" i="7"/>
  <c r="AC35" i="7" s="1"/>
  <c r="W41" i="7"/>
  <c r="Z41" i="7" s="1"/>
  <c r="W48" i="7"/>
  <c r="AA48" i="7" s="1"/>
  <c r="W8" i="7"/>
  <c r="Z8" i="7" s="1"/>
  <c r="W45" i="7"/>
  <c r="AD45" i="7" s="1"/>
  <c r="W37" i="7"/>
  <c r="AA37" i="7" s="1"/>
  <c r="W50" i="7"/>
  <c r="AA50" i="7" s="1"/>
  <c r="W46" i="7"/>
  <c r="AC46" i="7" s="1"/>
  <c r="W36" i="7"/>
  <c r="Z36" i="7" s="1"/>
  <c r="W38" i="7"/>
  <c r="AC38" i="7" s="1"/>
  <c r="W24" i="7"/>
  <c r="AD24" i="7" s="1"/>
  <c r="W52" i="7"/>
  <c r="AA52" i="7" s="1"/>
  <c r="W30" i="7"/>
  <c r="AC30" i="7" s="1"/>
  <c r="W40" i="7"/>
  <c r="Z40" i="7" s="1"/>
  <c r="W44" i="7"/>
  <c r="AA44" i="7" s="1"/>
  <c r="W53" i="7"/>
  <c r="Z53" i="7" s="1"/>
  <c r="W43" i="7"/>
  <c r="Z43" i="7" s="1"/>
  <c r="W47" i="7"/>
  <c r="Z47" i="7" s="1"/>
  <c r="W26" i="7"/>
  <c r="AD26" i="7" s="1"/>
  <c r="W29" i="7"/>
  <c r="AC29" i="7" s="1"/>
  <c r="W9" i="7"/>
  <c r="AC9" i="7" s="1"/>
  <c r="W19" i="7"/>
  <c r="AD19" i="7" s="1"/>
  <c r="W7" i="7"/>
  <c r="AC7" i="7" s="1"/>
  <c r="W6" i="7"/>
  <c r="AA6" i="7" s="1"/>
  <c r="W22" i="7"/>
  <c r="AD22" i="7" s="1"/>
  <c r="W27" i="7"/>
  <c r="AA27" i="7" s="1"/>
  <c r="W25" i="7"/>
  <c r="AA25" i="7" s="1"/>
  <c r="W23" i="7"/>
  <c r="AC23" i="7" s="1"/>
  <c r="W32" i="7"/>
  <c r="AA32" i="7" s="1"/>
  <c r="W12" i="7"/>
  <c r="AC12" i="7" s="1"/>
  <c r="W28" i="7"/>
  <c r="AC28" i="7" s="1"/>
  <c r="W5" i="7"/>
  <c r="AD5" i="7" s="1"/>
  <c r="W33" i="7"/>
  <c r="AA33" i="7" s="1"/>
  <c r="W3" i="7"/>
  <c r="AC3" i="7" s="1"/>
  <c r="W18" i="7"/>
  <c r="AD18" i="7" s="1"/>
  <c r="W14" i="7"/>
  <c r="AC14" i="7" s="1"/>
  <c r="W16" i="7"/>
  <c r="AC16" i="7" s="1"/>
  <c r="W21" i="7"/>
  <c r="Z21" i="7" s="1"/>
  <c r="W10" i="7"/>
  <c r="AD10" i="7" s="1"/>
  <c r="W17" i="7"/>
  <c r="AD17" i="7" s="1"/>
  <c r="W31" i="7"/>
  <c r="Z31" i="7" s="1"/>
  <c r="W15" i="7"/>
  <c r="Z15" i="7" s="1"/>
  <c r="W11" i="7"/>
  <c r="AC11" i="7" s="1"/>
  <c r="W13" i="7"/>
  <c r="AA13" i="7" s="1"/>
  <c r="AC72" i="7" l="1"/>
  <c r="AB72" i="7"/>
  <c r="AC89" i="7"/>
  <c r="AE72" i="7"/>
  <c r="AF72" i="7" s="1"/>
  <c r="AG72" i="7" s="1"/>
  <c r="AH72" i="7" s="1"/>
  <c r="Z89" i="7"/>
  <c r="AB89" i="7" s="1"/>
  <c r="Z106" i="7"/>
  <c r="AC85" i="7"/>
  <c r="AD89" i="7"/>
  <c r="AD85" i="7"/>
  <c r="AE85" i="7" s="1"/>
  <c r="AF85" i="7" s="1"/>
  <c r="AG85" i="7" s="1"/>
  <c r="AH85" i="7" s="1"/>
  <c r="Z105" i="7"/>
  <c r="AC97" i="7"/>
  <c r="AC105" i="7"/>
  <c r="AE105" i="7" s="1"/>
  <c r="AF105" i="7" s="1"/>
  <c r="AG105" i="7" s="1"/>
  <c r="AH105" i="7" s="1"/>
  <c r="AC102" i="7"/>
  <c r="AD102" i="7"/>
  <c r="Z102" i="7"/>
  <c r="AB102" i="7" s="1"/>
  <c r="AA105" i="7"/>
  <c r="AD93" i="7"/>
  <c r="AD100" i="7"/>
  <c r="AD83" i="7"/>
  <c r="Z97" i="7"/>
  <c r="AB97" i="7" s="1"/>
  <c r="AA85" i="7"/>
  <c r="AB85" i="7" s="1"/>
  <c r="AD97" i="7"/>
  <c r="AA88" i="7"/>
  <c r="Z109" i="7"/>
  <c r="Z83" i="7"/>
  <c r="AB83" i="7" s="1"/>
  <c r="AD109" i="7"/>
  <c r="AE109" i="7" s="1"/>
  <c r="AF109" i="7" s="1"/>
  <c r="AG109" i="7" s="1"/>
  <c r="AH109" i="7" s="1"/>
  <c r="AA100" i="7"/>
  <c r="AC100" i="7"/>
  <c r="AC93" i="7"/>
  <c r="AE93" i="7" s="1"/>
  <c r="AF93" i="7" s="1"/>
  <c r="AG93" i="7" s="1"/>
  <c r="AH93" i="7" s="1"/>
  <c r="AC92" i="7"/>
  <c r="AD92" i="7"/>
  <c r="AE92" i="7" s="1"/>
  <c r="AF92" i="7" s="1"/>
  <c r="AG92" i="7" s="1"/>
  <c r="AH92" i="7" s="1"/>
  <c r="AC98" i="7"/>
  <c r="AD98" i="7"/>
  <c r="AA98" i="7"/>
  <c r="AB98" i="7" s="1"/>
  <c r="AE89" i="7"/>
  <c r="AF89" i="7" s="1"/>
  <c r="AG89" i="7" s="1"/>
  <c r="AH89" i="7" s="1"/>
  <c r="AC83" i="7"/>
  <c r="AA93" i="7"/>
  <c r="AB93" i="7" s="1"/>
  <c r="AA92" i="7"/>
  <c r="AB92" i="7" s="1"/>
  <c r="AD82" i="7"/>
  <c r="AC49" i="7"/>
  <c r="AD101" i="7"/>
  <c r="AD49" i="7"/>
  <c r="AD75" i="7"/>
  <c r="AE75" i="7" s="1"/>
  <c r="AF75" i="7" s="1"/>
  <c r="AG75" i="7" s="1"/>
  <c r="AH75" i="7" s="1"/>
  <c r="AD51" i="7"/>
  <c r="AC107" i="7"/>
  <c r="AA78" i="7"/>
  <c r="Z78" i="7"/>
  <c r="AA76" i="7"/>
  <c r="AA109" i="7"/>
  <c r="AD87" i="7"/>
  <c r="AB100" i="7"/>
  <c r="AD107" i="7"/>
  <c r="AC101" i="7"/>
  <c r="AC106" i="7"/>
  <c r="AE106" i="7" s="1"/>
  <c r="AF106" i="7" s="1"/>
  <c r="AG106" i="7" s="1"/>
  <c r="AH106" i="7" s="1"/>
  <c r="AA103" i="7"/>
  <c r="Z101" i="7"/>
  <c r="AB101" i="7" s="1"/>
  <c r="AC104" i="7"/>
  <c r="AE104" i="7" s="1"/>
  <c r="AF104" i="7" s="1"/>
  <c r="AG104" i="7" s="1"/>
  <c r="AH104" i="7" s="1"/>
  <c r="AD78" i="7"/>
  <c r="AE78" i="7" s="1"/>
  <c r="AF78" i="7" s="1"/>
  <c r="AG78" i="7" s="1"/>
  <c r="AH78" i="7" s="1"/>
  <c r="AC88" i="7"/>
  <c r="AE88" i="7" s="1"/>
  <c r="AF88" i="7" s="1"/>
  <c r="AG88" i="7" s="1"/>
  <c r="AH88" i="7" s="1"/>
  <c r="Z51" i="7"/>
  <c r="AB51" i="7" s="1"/>
  <c r="Z79" i="7"/>
  <c r="AB79" i="7" s="1"/>
  <c r="Z107" i="7"/>
  <c r="AB107" i="7" s="1"/>
  <c r="Z88" i="7"/>
  <c r="AC87" i="7"/>
  <c r="AD99" i="7"/>
  <c r="AC96" i="7"/>
  <c r="AC91" i="7"/>
  <c r="AE91" i="7" s="1"/>
  <c r="AF91" i="7" s="1"/>
  <c r="AG91" i="7" s="1"/>
  <c r="AH91" i="7" s="1"/>
  <c r="AA70" i="7"/>
  <c r="AB77" i="7"/>
  <c r="Z99" i="7"/>
  <c r="AB99" i="7" s="1"/>
  <c r="AC99" i="7"/>
  <c r="AC103" i="7"/>
  <c r="AE103" i="7" s="1"/>
  <c r="AF103" i="7" s="1"/>
  <c r="AG103" i="7" s="1"/>
  <c r="AH103" i="7" s="1"/>
  <c r="AC51" i="7"/>
  <c r="AE74" i="7"/>
  <c r="AF74" i="7" s="1"/>
  <c r="AG74" i="7" s="1"/>
  <c r="AH74" i="7" s="1"/>
  <c r="AB73" i="7"/>
  <c r="Z104" i="7"/>
  <c r="AD79" i="7"/>
  <c r="AA81" i="7"/>
  <c r="AB81" i="7" s="1"/>
  <c r="Z76" i="7"/>
  <c r="AA90" i="7"/>
  <c r="AA106" i="7"/>
  <c r="AB106" i="7" s="1"/>
  <c r="AA75" i="7"/>
  <c r="AC82" i="7"/>
  <c r="Z91" i="7"/>
  <c r="AD96" i="7"/>
  <c r="AB86" i="7"/>
  <c r="AD81" i="7"/>
  <c r="AC90" i="7"/>
  <c r="AE90" i="7" s="1"/>
  <c r="AF90" i="7" s="1"/>
  <c r="AG90" i="7" s="1"/>
  <c r="AH90" i="7" s="1"/>
  <c r="Z103" i="7"/>
  <c r="AA104" i="7"/>
  <c r="AD76" i="7"/>
  <c r="AE76" i="7" s="1"/>
  <c r="AF76" i="7" s="1"/>
  <c r="AG76" i="7" s="1"/>
  <c r="AH76" i="7" s="1"/>
  <c r="Z90" i="7"/>
  <c r="Z70" i="7"/>
  <c r="AA91" i="7"/>
  <c r="Z96" i="7"/>
  <c r="AB96" i="7" s="1"/>
  <c r="AC81" i="7"/>
  <c r="Z94" i="7"/>
  <c r="AE77" i="7"/>
  <c r="AF77" i="7" s="1"/>
  <c r="AG77" i="7" s="1"/>
  <c r="AH77" i="7" s="1"/>
  <c r="AC94" i="7"/>
  <c r="AE94" i="7" s="1"/>
  <c r="AF94" i="7" s="1"/>
  <c r="AG94" i="7" s="1"/>
  <c r="AH94" i="7" s="1"/>
  <c r="AA94" i="7"/>
  <c r="AA82" i="7"/>
  <c r="AB82" i="7" s="1"/>
  <c r="Z108" i="7"/>
  <c r="AA108" i="7"/>
  <c r="Z75" i="7"/>
  <c r="AC79" i="7"/>
  <c r="AD84" i="7"/>
  <c r="AB74" i="7"/>
  <c r="AD108" i="7"/>
  <c r="AE108" i="7" s="1"/>
  <c r="AF108" i="7" s="1"/>
  <c r="AG108" i="7" s="1"/>
  <c r="AH108" i="7" s="1"/>
  <c r="AA110" i="7"/>
  <c r="AC70" i="7"/>
  <c r="AE70" i="7" s="1"/>
  <c r="AF70" i="7" s="1"/>
  <c r="AG70" i="7" s="1"/>
  <c r="Z95" i="7"/>
  <c r="AB95" i="7" s="1"/>
  <c r="AC111" i="7"/>
  <c r="AA84" i="7"/>
  <c r="AB84" i="7" s="1"/>
  <c r="AD95" i="7"/>
  <c r="AC95" i="7"/>
  <c r="AD8" i="7"/>
  <c r="AD111" i="7"/>
  <c r="Z111" i="7"/>
  <c r="AB111" i="7" s="1"/>
  <c r="AD80" i="7"/>
  <c r="AE80" i="7" s="1"/>
  <c r="AF80" i="7" s="1"/>
  <c r="AG80" i="7" s="1"/>
  <c r="AH80" i="7" s="1"/>
  <c r="Z110" i="7"/>
  <c r="Z80" i="7"/>
  <c r="AA80" i="7"/>
  <c r="AA49" i="7"/>
  <c r="AB49" i="7" s="1"/>
  <c r="AD110" i="7"/>
  <c r="AE110" i="7" s="1"/>
  <c r="AF110" i="7" s="1"/>
  <c r="AG110" i="7" s="1"/>
  <c r="AH110" i="7" s="1"/>
  <c r="AD37" i="7"/>
  <c r="AE86" i="7"/>
  <c r="AF86" i="7" s="1"/>
  <c r="AG86" i="7" s="1"/>
  <c r="AH86" i="7" s="1"/>
  <c r="AC84" i="7"/>
  <c r="AA87" i="7"/>
  <c r="AB87" i="7" s="1"/>
  <c r="AC37" i="7"/>
  <c r="AE73" i="7"/>
  <c r="AF73" i="7" s="1"/>
  <c r="AG73" i="7" s="1"/>
  <c r="AH73" i="7" s="1"/>
  <c r="AC71" i="7"/>
  <c r="AE71" i="7" s="1"/>
  <c r="AF71" i="7" s="1"/>
  <c r="AG71" i="7" s="1"/>
  <c r="AH71" i="7" s="1"/>
  <c r="Z71" i="7"/>
  <c r="AA71" i="7"/>
  <c r="Z39" i="7"/>
  <c r="AB39" i="7" s="1"/>
  <c r="AD4" i="7"/>
  <c r="AA45" i="7"/>
  <c r="AD36" i="7"/>
  <c r="AD48" i="7"/>
  <c r="AA4" i="7"/>
  <c r="AB4" i="7" s="1"/>
  <c r="AC39" i="7"/>
  <c r="AC36" i="7"/>
  <c r="Z20" i="7"/>
  <c r="AD34" i="7"/>
  <c r="AA35" i="7"/>
  <c r="AA20" i="7"/>
  <c r="AD39" i="7"/>
  <c r="Z42" i="7"/>
  <c r="AB42" i="7" s="1"/>
  <c r="AC4" i="7"/>
  <c r="AD42" i="7"/>
  <c r="Z34" i="7"/>
  <c r="AB34" i="7" s="1"/>
  <c r="AC20" i="7"/>
  <c r="AE20" i="7" s="1"/>
  <c r="AF20" i="7" s="1"/>
  <c r="AG20" i="7" s="1"/>
  <c r="AH20" i="7" s="1"/>
  <c r="AC42" i="7"/>
  <c r="AC26" i="7"/>
  <c r="AE26" i="7" s="1"/>
  <c r="AF26" i="7" s="1"/>
  <c r="AG26" i="7" s="1"/>
  <c r="AH26" i="7" s="1"/>
  <c r="AA41" i="7"/>
  <c r="AB41" i="7" s="1"/>
  <c r="AC34" i="7"/>
  <c r="Z48" i="7"/>
  <c r="AB48" i="7" s="1"/>
  <c r="Z35" i="7"/>
  <c r="AD41" i="7"/>
  <c r="AD35" i="7"/>
  <c r="AE35" i="7" s="1"/>
  <c r="AF35" i="7" s="1"/>
  <c r="AG35" i="7" s="1"/>
  <c r="AC41" i="7"/>
  <c r="AC8" i="7"/>
  <c r="AA8" i="7"/>
  <c r="AB8" i="7" s="1"/>
  <c r="AC48" i="7"/>
  <c r="AD40" i="7"/>
  <c r="AC45" i="7"/>
  <c r="AE45" i="7" s="1"/>
  <c r="AF45" i="7" s="1"/>
  <c r="AG45" i="7" s="1"/>
  <c r="AH45" i="7" s="1"/>
  <c r="AC50" i="7"/>
  <c r="AD50" i="7"/>
  <c r="Z37" i="7"/>
  <c r="AB37" i="7" s="1"/>
  <c r="AC6" i="7"/>
  <c r="Z45" i="7"/>
  <c r="AC52" i="7"/>
  <c r="Z52" i="7"/>
  <c r="AB52" i="7" s="1"/>
  <c r="AD46" i="7"/>
  <c r="AE46" i="7" s="1"/>
  <c r="AF46" i="7" s="1"/>
  <c r="AG46" i="7" s="1"/>
  <c r="AH46" i="7" s="1"/>
  <c r="Z46" i="7"/>
  <c r="AA9" i="7"/>
  <c r="AD53" i="7"/>
  <c r="AA46" i="7"/>
  <c r="AC43" i="7"/>
  <c r="Z50" i="7"/>
  <c r="AB50" i="7" s="1"/>
  <c r="AA36" i="7"/>
  <c r="AB36" i="7" s="1"/>
  <c r="AC24" i="7"/>
  <c r="AE24" i="7" s="1"/>
  <c r="AF24" i="7" s="1"/>
  <c r="AG24" i="7" s="1"/>
  <c r="AH24" i="7" s="1"/>
  <c r="Z38" i="7"/>
  <c r="AA40" i="7"/>
  <c r="AB40" i="7" s="1"/>
  <c r="AD7" i="7"/>
  <c r="AE7" i="7" s="1"/>
  <c r="AF7" i="7" s="1"/>
  <c r="AG7" i="7" s="1"/>
  <c r="AH7" i="7" s="1"/>
  <c r="AD9" i="7"/>
  <c r="AE9" i="7" s="1"/>
  <c r="AF9" i="7" s="1"/>
  <c r="AG9" i="7" s="1"/>
  <c r="AH9" i="7" s="1"/>
  <c r="AA22" i="7"/>
  <c r="AA38" i="7"/>
  <c r="AA24" i="7"/>
  <c r="AC40" i="7"/>
  <c r="AA43" i="7"/>
  <c r="AB43" i="7" s="1"/>
  <c r="AD30" i="7"/>
  <c r="AE30" i="7" s="1"/>
  <c r="AF30" i="7" s="1"/>
  <c r="AG30" i="7" s="1"/>
  <c r="AH30" i="7" s="1"/>
  <c r="AD29" i="7"/>
  <c r="AE29" i="7" s="1"/>
  <c r="AF29" i="7" s="1"/>
  <c r="AG29" i="7" s="1"/>
  <c r="AH29" i="7" s="1"/>
  <c r="AD52" i="7"/>
  <c r="AA53" i="7"/>
  <c r="AB53" i="7" s="1"/>
  <c r="Z24" i="7"/>
  <c r="Z27" i="7"/>
  <c r="AB27" i="7" s="1"/>
  <c r="AD38" i="7"/>
  <c r="AE38" i="7" s="1"/>
  <c r="AF38" i="7" s="1"/>
  <c r="AG38" i="7" s="1"/>
  <c r="AH38" i="7" s="1"/>
  <c r="Z30" i="7"/>
  <c r="AA30" i="7"/>
  <c r="AC53" i="7"/>
  <c r="AC44" i="7"/>
  <c r="Z25" i="7"/>
  <c r="AB25" i="7" s="1"/>
  <c r="Z7" i="7"/>
  <c r="Z19" i="7"/>
  <c r="Z22" i="7"/>
  <c r="AA26" i="7"/>
  <c r="AC25" i="7"/>
  <c r="Z29" i="7"/>
  <c r="AD44" i="7"/>
  <c r="Z18" i="7"/>
  <c r="AC19" i="7"/>
  <c r="AE19" i="7" s="1"/>
  <c r="AF19" i="7" s="1"/>
  <c r="AG19" i="7" s="1"/>
  <c r="AH19" i="7" s="1"/>
  <c r="Z9" i="7"/>
  <c r="AD43" i="7"/>
  <c r="AD47" i="7"/>
  <c r="AA29" i="7"/>
  <c r="Z26" i="7"/>
  <c r="AC47" i="7"/>
  <c r="Z44" i="7"/>
  <c r="AB44" i="7" s="1"/>
  <c r="AC27" i="7"/>
  <c r="AA47" i="7"/>
  <c r="AB47" i="7" s="1"/>
  <c r="AD25" i="7"/>
  <c r="AD6" i="7"/>
  <c r="AC32" i="7"/>
  <c r="AC22" i="7"/>
  <c r="AE22" i="7" s="1"/>
  <c r="AF22" i="7" s="1"/>
  <c r="AG22" i="7" s="1"/>
  <c r="AH22" i="7" s="1"/>
  <c r="Z6" i="7"/>
  <c r="AB6" i="7" s="1"/>
  <c r="AD32" i="7"/>
  <c r="Z32" i="7"/>
  <c r="AB32" i="7" s="1"/>
  <c r="AD27" i="7"/>
  <c r="AA7" i="7"/>
  <c r="AA19" i="7"/>
  <c r="AC21" i="7"/>
  <c r="AA16" i="7"/>
  <c r="AD16" i="7"/>
  <c r="AE16" i="7" s="1"/>
  <c r="AF16" i="7" s="1"/>
  <c r="AG16" i="7" s="1"/>
  <c r="AH16" i="7" s="1"/>
  <c r="AA17" i="7"/>
  <c r="Z12" i="7"/>
  <c r="AC17" i="7"/>
  <c r="AE17" i="7" s="1"/>
  <c r="AF17" i="7" s="1"/>
  <c r="AG17" i="7" s="1"/>
  <c r="AH17" i="7" s="1"/>
  <c r="AA21" i="7"/>
  <c r="AB21" i="7" s="1"/>
  <c r="Z28" i="7"/>
  <c r="AD12" i="7"/>
  <c r="AE12" i="7" s="1"/>
  <c r="AF12" i="7" s="1"/>
  <c r="AG12" i="7" s="1"/>
  <c r="AH12" i="7" s="1"/>
  <c r="Z23" i="7"/>
  <c r="AC33" i="7"/>
  <c r="AA12" i="7"/>
  <c r="Z33" i="7"/>
  <c r="AB33" i="7" s="1"/>
  <c r="AA5" i="7"/>
  <c r="AD33" i="7"/>
  <c r="AD28" i="7"/>
  <c r="AE28" i="7" s="1"/>
  <c r="AF28" i="7" s="1"/>
  <c r="AG28" i="7" s="1"/>
  <c r="AH28" i="7" s="1"/>
  <c r="AD3" i="7"/>
  <c r="AE3" i="7" s="1"/>
  <c r="AF3" i="7" s="1"/>
  <c r="AG3" i="7" s="1"/>
  <c r="AA28" i="7"/>
  <c r="Z5" i="7"/>
  <c r="AC5" i="7"/>
  <c r="AE5" i="7" s="1"/>
  <c r="AF5" i="7" s="1"/>
  <c r="AG5" i="7" s="1"/>
  <c r="AH5" i="7" s="1"/>
  <c r="AC10" i="7"/>
  <c r="AE10" i="7" s="1"/>
  <c r="AF10" i="7" s="1"/>
  <c r="AG10" i="7" s="1"/>
  <c r="AH10" i="7" s="1"/>
  <c r="AA3" i="7"/>
  <c r="Z3" i="7"/>
  <c r="AA23" i="7"/>
  <c r="AD23" i="7"/>
  <c r="AE23" i="7" s="1"/>
  <c r="AF23" i="7" s="1"/>
  <c r="AG23" i="7" s="1"/>
  <c r="AH23" i="7" s="1"/>
  <c r="Z17" i="7"/>
  <c r="Z16" i="7"/>
  <c r="AA18" i="7"/>
  <c r="AC18" i="7"/>
  <c r="AE18" i="7" s="1"/>
  <c r="AF18" i="7" s="1"/>
  <c r="AG18" i="7" s="1"/>
  <c r="AH18" i="7" s="1"/>
  <c r="AD21" i="7"/>
  <c r="AA31" i="7"/>
  <c r="AB31" i="7" s="1"/>
  <c r="AC31" i="7"/>
  <c r="AA10" i="7"/>
  <c r="AD31" i="7"/>
  <c r="AA14" i="7"/>
  <c r="Z10" i="7"/>
  <c r="Z14" i="7"/>
  <c r="AD14" i="7"/>
  <c r="AE14" i="7" s="1"/>
  <c r="AF14" i="7" s="1"/>
  <c r="AG14" i="7" s="1"/>
  <c r="AH14" i="7" s="1"/>
  <c r="AD11" i="7"/>
  <c r="AE11" i="7" s="1"/>
  <c r="AF11" i="7" s="1"/>
  <c r="AG11" i="7" s="1"/>
  <c r="AA11" i="7"/>
  <c r="AD13" i="7"/>
  <c r="AC15" i="7"/>
  <c r="Z13" i="7"/>
  <c r="AB13" i="7" s="1"/>
  <c r="AC13" i="7"/>
  <c r="AD15" i="7"/>
  <c r="AA15" i="7"/>
  <c r="AB15" i="7" s="1"/>
  <c r="Z11" i="7"/>
  <c r="AB105" i="7" l="1"/>
  <c r="AB88" i="7"/>
  <c r="AB109" i="7"/>
  <c r="AE102" i="7"/>
  <c r="AF102" i="7" s="1"/>
  <c r="AG102" i="7" s="1"/>
  <c r="AH102" i="7" s="1"/>
  <c r="AE97" i="7"/>
  <c r="AF97" i="7" s="1"/>
  <c r="AG97" i="7" s="1"/>
  <c r="AH97" i="7" s="1"/>
  <c r="AE101" i="7"/>
  <c r="AF101" i="7" s="1"/>
  <c r="AG101" i="7" s="1"/>
  <c r="AH101" i="7" s="1"/>
  <c r="AE49" i="7"/>
  <c r="AF49" i="7" s="1"/>
  <c r="AG49" i="7" s="1"/>
  <c r="AH49" i="7" s="1"/>
  <c r="AE83" i="7"/>
  <c r="AF83" i="7" s="1"/>
  <c r="AG83" i="7" s="1"/>
  <c r="AH83" i="7" s="1"/>
  <c r="AE100" i="7"/>
  <c r="AF100" i="7" s="1"/>
  <c r="AG100" i="7" s="1"/>
  <c r="AH100" i="7" s="1"/>
  <c r="AE98" i="7"/>
  <c r="AF98" i="7" s="1"/>
  <c r="AG98" i="7" s="1"/>
  <c r="AH98" i="7" s="1"/>
  <c r="AE87" i="7"/>
  <c r="AF87" i="7" s="1"/>
  <c r="AG87" i="7" s="1"/>
  <c r="AH87" i="7" s="1"/>
  <c r="AH70" i="7"/>
  <c r="AE82" i="7"/>
  <c r="AF82" i="7" s="1"/>
  <c r="AG82" i="7" s="1"/>
  <c r="AH82" i="7" s="1"/>
  <c r="AE99" i="7"/>
  <c r="AF99" i="7" s="1"/>
  <c r="AG99" i="7" s="1"/>
  <c r="AH99" i="7" s="1"/>
  <c r="AB110" i="7"/>
  <c r="AE4" i="7"/>
  <c r="AF4" i="7" s="1"/>
  <c r="AG4" i="7" s="1"/>
  <c r="AH4" i="7" s="1"/>
  <c r="AB76" i="7"/>
  <c r="AB70" i="7"/>
  <c r="AE51" i="7"/>
  <c r="AF51" i="7" s="1"/>
  <c r="AG51" i="7" s="1"/>
  <c r="AH51" i="7" s="1"/>
  <c r="AE48" i="7"/>
  <c r="AF48" i="7" s="1"/>
  <c r="AG48" i="7" s="1"/>
  <c r="AH48" i="7" s="1"/>
  <c r="AE42" i="7"/>
  <c r="AF42" i="7" s="1"/>
  <c r="AG42" i="7" s="1"/>
  <c r="AH42" i="7" s="1"/>
  <c r="AE34" i="7"/>
  <c r="AF34" i="7" s="1"/>
  <c r="AG34" i="7" s="1"/>
  <c r="AH34" i="7" s="1"/>
  <c r="AB78" i="7"/>
  <c r="AB103" i="7"/>
  <c r="AB108" i="7"/>
  <c r="AE107" i="7"/>
  <c r="AF107" i="7" s="1"/>
  <c r="AG107" i="7" s="1"/>
  <c r="AH107" i="7" s="1"/>
  <c r="AE37" i="7"/>
  <c r="AF37" i="7" s="1"/>
  <c r="AG37" i="7" s="1"/>
  <c r="AH37" i="7" s="1"/>
  <c r="AE111" i="7"/>
  <c r="AF111" i="7" s="1"/>
  <c r="AG111" i="7" s="1"/>
  <c r="AH111" i="7" s="1"/>
  <c r="AE96" i="7"/>
  <c r="AF96" i="7" s="1"/>
  <c r="AG96" i="7" s="1"/>
  <c r="AH96" i="7" s="1"/>
  <c r="AE79" i="7"/>
  <c r="AF79" i="7" s="1"/>
  <c r="AG79" i="7" s="1"/>
  <c r="AH79" i="7" s="1"/>
  <c r="AB75" i="7"/>
  <c r="AE81" i="7"/>
  <c r="AF81" i="7" s="1"/>
  <c r="AG81" i="7" s="1"/>
  <c r="AH81" i="7" s="1"/>
  <c r="AE95" i="7"/>
  <c r="AF95" i="7" s="1"/>
  <c r="AG95" i="7" s="1"/>
  <c r="AH95" i="7" s="1"/>
  <c r="AB90" i="7"/>
  <c r="AB71" i="7"/>
  <c r="AE36" i="7"/>
  <c r="AF36" i="7" s="1"/>
  <c r="AG36" i="7" s="1"/>
  <c r="AH36" i="7" s="1"/>
  <c r="AB91" i="7"/>
  <c r="AB45" i="7"/>
  <c r="AB104" i="7"/>
  <c r="AE8" i="7"/>
  <c r="AF8" i="7" s="1"/>
  <c r="AG8" i="7" s="1"/>
  <c r="AH8" i="7" s="1"/>
  <c r="AE84" i="7"/>
  <c r="AF84" i="7" s="1"/>
  <c r="AG84" i="7" s="1"/>
  <c r="AH84" i="7" s="1"/>
  <c r="AB94" i="7"/>
  <c r="AB80" i="7"/>
  <c r="AB20" i="7"/>
  <c r="AE40" i="7"/>
  <c r="AF40" i="7" s="1"/>
  <c r="AG40" i="7" s="1"/>
  <c r="AH40" i="7" s="1"/>
  <c r="AE50" i="7"/>
  <c r="AF50" i="7" s="1"/>
  <c r="AG50" i="7" s="1"/>
  <c r="AH50" i="7" s="1"/>
  <c r="AE41" i="7"/>
  <c r="AF41" i="7" s="1"/>
  <c r="AG41" i="7" s="1"/>
  <c r="AH41" i="7" s="1"/>
  <c r="AB35" i="7"/>
  <c r="AE39" i="7"/>
  <c r="AF39" i="7" s="1"/>
  <c r="AG39" i="7" s="1"/>
  <c r="AH39" i="7" s="1"/>
  <c r="AB46" i="7"/>
  <c r="AE6" i="7"/>
  <c r="AF6" i="7" s="1"/>
  <c r="AG6" i="7" s="1"/>
  <c r="AH6" i="7" s="1"/>
  <c r="AE52" i="7"/>
  <c r="AF52" i="7" s="1"/>
  <c r="AG52" i="7" s="1"/>
  <c r="AH52" i="7" s="1"/>
  <c r="AB30" i="7"/>
  <c r="AB23" i="7"/>
  <c r="AB29" i="7"/>
  <c r="AB19" i="7"/>
  <c r="AB7" i="7"/>
  <c r="AE47" i="7"/>
  <c r="AF47" i="7" s="1"/>
  <c r="AG47" i="7" s="1"/>
  <c r="AH47" i="7" s="1"/>
  <c r="AB22" i="7"/>
  <c r="AB26" i="7"/>
  <c r="AE43" i="7"/>
  <c r="AF43" i="7" s="1"/>
  <c r="AG43" i="7" s="1"/>
  <c r="AH43" i="7" s="1"/>
  <c r="AB9" i="7"/>
  <c r="AE53" i="7"/>
  <c r="AF53" i="7" s="1"/>
  <c r="AG53" i="7" s="1"/>
  <c r="AH53" i="7" s="1"/>
  <c r="AB18" i="7"/>
  <c r="AB38" i="7"/>
  <c r="AB24" i="7"/>
  <c r="AE25" i="7"/>
  <c r="AF25" i="7" s="1"/>
  <c r="AG25" i="7" s="1"/>
  <c r="AH25" i="7" s="1"/>
  <c r="AE32" i="7"/>
  <c r="AF32" i="7" s="1"/>
  <c r="AG32" i="7" s="1"/>
  <c r="AH32" i="7" s="1"/>
  <c r="AE33" i="7"/>
  <c r="AF33" i="7" s="1"/>
  <c r="AG33" i="7" s="1"/>
  <c r="AH33" i="7" s="1"/>
  <c r="AE21" i="7"/>
  <c r="AF21" i="7" s="1"/>
  <c r="AG21" i="7" s="1"/>
  <c r="AH21" i="7" s="1"/>
  <c r="AH3" i="7"/>
  <c r="AE44" i="7"/>
  <c r="AF44" i="7" s="1"/>
  <c r="AG44" i="7" s="1"/>
  <c r="AH44" i="7" s="1"/>
  <c r="AE27" i="7"/>
  <c r="AF27" i="7" s="1"/>
  <c r="AG27" i="7" s="1"/>
  <c r="AH27" i="7" s="1"/>
  <c r="AH35" i="7"/>
  <c r="AB28" i="7"/>
  <c r="AB16" i="7"/>
  <c r="AB17" i="7"/>
  <c r="AB3" i="7"/>
  <c r="AB12" i="7"/>
  <c r="AB5" i="7"/>
  <c r="AB10" i="7"/>
  <c r="AB14" i="7"/>
  <c r="AE15" i="7"/>
  <c r="AF15" i="7" s="1"/>
  <c r="AG15" i="7" s="1"/>
  <c r="AH15" i="7" s="1"/>
  <c r="AB11" i="7"/>
  <c r="AE31" i="7"/>
  <c r="AF31" i="7" s="1"/>
  <c r="AG31" i="7" s="1"/>
  <c r="AH31" i="7" s="1"/>
  <c r="AH11" i="7"/>
  <c r="AE13" i="7"/>
  <c r="AF13" i="7" s="1"/>
  <c r="AG13" i="7" s="1"/>
  <c r="AH13" i="7" s="1"/>
  <c r="AH124" i="7" l="1"/>
  <c r="AH114" i="7"/>
  <c r="AH122" i="7"/>
  <c r="AH116" i="7"/>
  <c r="AH120" i="7"/>
  <c r="AH121" i="7" s="1"/>
  <c r="AH118" i="7"/>
  <c r="AH119" i="7" s="1"/>
  <c r="AH117" i="7"/>
  <c r="AG57" i="7"/>
  <c r="AH56" i="7"/>
  <c r="AH64" i="7"/>
  <c r="AH65" i="7" s="1"/>
  <c r="AH62" i="7"/>
  <c r="AH63" i="7" s="1"/>
  <c r="AH66" i="7"/>
  <c r="AH67" i="7" s="1"/>
  <c r="AH59" i="7"/>
  <c r="AH60" i="7"/>
  <c r="AH58" i="7"/>
  <c r="AG56" i="7"/>
  <c r="AG115" i="7"/>
  <c r="AG114" i="7"/>
  <c r="AH125" i="7"/>
  <c r="AH123" i="7"/>
  <c r="AH6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Giacomo Savini</author>
  </authors>
  <commentList>
    <comment ref="M9" authorId="0" shapeId="0" xr:uid="{2C04BD75-9641-1B43-A6D0-7A994A220E6F}">
      <text>
        <r>
          <rPr>
            <b/>
            <sz val="10"/>
            <color rgb="FF000000"/>
            <rFont val="Tahoma"/>
            <family val="2"/>
          </rPr>
          <t>Giacomo Savini: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visus ad 1 settimana</t>
        </r>
      </text>
    </comment>
    <comment ref="O28" authorId="0" shapeId="0" xr:uid="{3EC36EC6-81F3-664B-8E42-0DB8108E8EC6}">
      <text>
        <r>
          <rPr>
            <b/>
            <sz val="10"/>
            <color rgb="FF000000"/>
            <rFont val="Tahoma"/>
            <family val="2"/>
          </rPr>
          <t>Giacomo Savini: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visus a 45gg</t>
        </r>
      </text>
    </comment>
  </commentList>
</comments>
</file>

<file path=xl/sharedStrings.xml><?xml version="1.0" encoding="utf-8"?>
<sst xmlns="http://schemas.openxmlformats.org/spreadsheetml/2006/main" count="434" uniqueCount="164">
  <si>
    <t>OD</t>
  </si>
  <si>
    <t>OS</t>
  </si>
  <si>
    <t>IOL power</t>
  </si>
  <si>
    <t>Sphere</t>
  </si>
  <si>
    <t>Cyl</t>
  </si>
  <si>
    <t>SE</t>
  </si>
  <si>
    <t>SN60WF</t>
  </si>
  <si>
    <t>TFNT00</t>
  </si>
  <si>
    <t>IOL model</t>
  </si>
  <si>
    <t>A-constant</t>
  </si>
  <si>
    <t>SN6AT4</t>
  </si>
  <si>
    <t>ZCB00</t>
  </si>
  <si>
    <t>RayOne</t>
  </si>
  <si>
    <t>MAE</t>
  </si>
  <si>
    <t>Mean PE</t>
  </si>
  <si>
    <t>MedAE</t>
  </si>
  <si>
    <t>tot</t>
  </si>
  <si>
    <t>&lt;0,25</t>
  </si>
  <si>
    <t>%</t>
  </si>
  <si>
    <t>&lt;0,50</t>
  </si>
  <si>
    <r>
      <t>&lt;0,</t>
    </r>
    <r>
      <rPr>
        <sz val="10"/>
        <rFont val="Verdana"/>
        <family val="2"/>
      </rPr>
      <t>75</t>
    </r>
  </si>
  <si>
    <r>
      <t>&lt;</t>
    </r>
    <r>
      <rPr>
        <sz val="10"/>
        <rFont val="Verdana"/>
        <family val="2"/>
      </rPr>
      <t>1,00</t>
    </r>
  </si>
  <si>
    <t>TFNT20</t>
  </si>
  <si>
    <t>1-month Refraction</t>
  </si>
  <si>
    <t>Eye</t>
  </si>
  <si>
    <t>Age</t>
  </si>
  <si>
    <t>Gender</t>
  </si>
  <si>
    <t>F</t>
  </si>
  <si>
    <t>M</t>
  </si>
  <si>
    <t>Soleko Fil611</t>
  </si>
  <si>
    <t>SN6AT3</t>
  </si>
  <si>
    <t>SN6AT5</t>
  </si>
  <si>
    <t>ACD</t>
  </si>
  <si>
    <t>LT</t>
  </si>
  <si>
    <t>AAB00</t>
  </si>
  <si>
    <t>SA60WF</t>
  </si>
  <si>
    <t>IOL MASTER</t>
  </si>
  <si>
    <t>K</t>
  </si>
  <si>
    <t>TK</t>
  </si>
  <si>
    <t xml:space="preserve">AL </t>
  </si>
  <si>
    <t>SN6AT2</t>
  </si>
  <si>
    <t>a0</t>
  </si>
  <si>
    <t>a1</t>
  </si>
  <si>
    <t>a2</t>
  </si>
  <si>
    <t>Axial length</t>
  </si>
  <si>
    <t>RC1</t>
  </si>
  <si>
    <t>Expected Rx</t>
  </si>
  <si>
    <t>d</t>
  </si>
  <si>
    <t>PC</t>
  </si>
  <si>
    <t>RX'</t>
  </si>
  <si>
    <t>T1</t>
  </si>
  <si>
    <t>T2</t>
  </si>
  <si>
    <t>IOL Power</t>
  </si>
  <si>
    <t>z1</t>
  </si>
  <si>
    <t>z2</t>
  </si>
  <si>
    <t>z</t>
  </si>
  <si>
    <t>PE</t>
  </si>
  <si>
    <t>DFT015</t>
  </si>
  <si>
    <t>DFT315</t>
  </si>
  <si>
    <t>Tecnis DCB00</t>
  </si>
  <si>
    <t>CLAREON</t>
  </si>
  <si>
    <t>OI</t>
  </si>
  <si>
    <t>SN6AT7</t>
  </si>
  <si>
    <t>SN6AT6</t>
  </si>
  <si>
    <t>VIVITY</t>
  </si>
  <si>
    <t>SN6AT8</t>
  </si>
  <si>
    <t>SN60AT</t>
  </si>
  <si>
    <t>ID</t>
  </si>
  <si>
    <t>ITA-1</t>
  </si>
  <si>
    <t>ITA-2</t>
  </si>
  <si>
    <t>ITA-3</t>
  </si>
  <si>
    <t>ITA-4</t>
  </si>
  <si>
    <t>ITA-5</t>
  </si>
  <si>
    <t>ITA-6</t>
  </si>
  <si>
    <t>ITA-7</t>
  </si>
  <si>
    <t>ITA-8</t>
  </si>
  <si>
    <t>ITA-9</t>
  </si>
  <si>
    <t>ITA-10</t>
  </si>
  <si>
    <t>ITA-11</t>
  </si>
  <si>
    <t>ITA-12</t>
  </si>
  <si>
    <t>ITA-13</t>
  </si>
  <si>
    <t>ITA-14</t>
  </si>
  <si>
    <t>ITA-15</t>
  </si>
  <si>
    <t>ITA-16</t>
  </si>
  <si>
    <t>ITA-17</t>
  </si>
  <si>
    <t>ITA-18</t>
  </si>
  <si>
    <t>ITA-19</t>
  </si>
  <si>
    <t>ITA-20</t>
  </si>
  <si>
    <t>ITA-21</t>
  </si>
  <si>
    <t>ITA-22</t>
  </si>
  <si>
    <t>ITA-23</t>
  </si>
  <si>
    <t>ITA-24</t>
  </si>
  <si>
    <t>ITA-25</t>
  </si>
  <si>
    <t>ITA-26</t>
  </si>
  <si>
    <t>ITA-27</t>
  </si>
  <si>
    <t>ITA-28</t>
  </si>
  <si>
    <t>ITA-29</t>
  </si>
  <si>
    <t>ITA-30</t>
  </si>
  <si>
    <t>ITA-31</t>
  </si>
  <si>
    <t>COL-1</t>
  </si>
  <si>
    <t>COL-2</t>
  </si>
  <si>
    <t>COL-3</t>
  </si>
  <si>
    <t>COL-4</t>
  </si>
  <si>
    <t>COL-5</t>
  </si>
  <si>
    <t>COL-6</t>
  </si>
  <si>
    <t>COL-7</t>
  </si>
  <si>
    <t>COL-8</t>
  </si>
  <si>
    <t>COL-9</t>
  </si>
  <si>
    <t>COL-10</t>
  </si>
  <si>
    <t>COL-11</t>
  </si>
  <si>
    <t>COL-12</t>
  </si>
  <si>
    <t>COL-13</t>
  </si>
  <si>
    <t>COL-14</t>
  </si>
  <si>
    <t>COL-15</t>
  </si>
  <si>
    <t>COL-16</t>
  </si>
  <si>
    <t>COL-17</t>
  </si>
  <si>
    <t>COL-18</t>
  </si>
  <si>
    <t>COL-19</t>
  </si>
  <si>
    <t>COL-20</t>
  </si>
  <si>
    <t>Absolute PE</t>
  </si>
  <si>
    <t>MYOPIC EYES</t>
  </si>
  <si>
    <t>COL-21</t>
  </si>
  <si>
    <t>COL-22</t>
  </si>
  <si>
    <t>COL-23</t>
  </si>
  <si>
    <t>COL-24</t>
  </si>
  <si>
    <t>COL-25</t>
  </si>
  <si>
    <t>COL-26</t>
  </si>
  <si>
    <t>COL-27</t>
  </si>
  <si>
    <t>COL-28</t>
  </si>
  <si>
    <t>COL-29</t>
  </si>
  <si>
    <t>COL-30</t>
  </si>
  <si>
    <t>COL-31</t>
  </si>
  <si>
    <t>COL-32</t>
  </si>
  <si>
    <t>COL-33</t>
  </si>
  <si>
    <t>COL-34</t>
  </si>
  <si>
    <t>COL-35</t>
  </si>
  <si>
    <t>COL-36</t>
  </si>
  <si>
    <t>COL-37</t>
  </si>
  <si>
    <t>COL-38</t>
  </si>
  <si>
    <t>COL-39</t>
  </si>
  <si>
    <t>COL-40</t>
  </si>
  <si>
    <t>COL-41</t>
  </si>
  <si>
    <t>COL-42</t>
  </si>
  <si>
    <t>COL-43</t>
  </si>
  <si>
    <t>COL-44</t>
  </si>
  <si>
    <t>COL-45</t>
  </si>
  <si>
    <t>COL-46</t>
  </si>
  <si>
    <t>COL-47</t>
  </si>
  <si>
    <t>COL-48</t>
  </si>
  <si>
    <t>COL-49</t>
  </si>
  <si>
    <t>COL-50</t>
  </si>
  <si>
    <t>COL-51</t>
  </si>
  <si>
    <t>COL-52</t>
  </si>
  <si>
    <t>COL-53</t>
  </si>
  <si>
    <t>COL-54</t>
  </si>
  <si>
    <t>COL-55</t>
  </si>
  <si>
    <t>COL-56</t>
  </si>
  <si>
    <t>COL-57</t>
  </si>
  <si>
    <t>COL-58</t>
  </si>
  <si>
    <t>COL-59</t>
  </si>
  <si>
    <t>COL-60</t>
  </si>
  <si>
    <t>COL-61</t>
  </si>
  <si>
    <t>COL-62</t>
  </si>
  <si>
    <t>HYPEROPIC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</si>
</sst>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6" formatCode="d&quot;-&quot;mmm&quot;-&quot;yyyy"/>
    <numFmt numFmtId="167" formatCode="d\-mmm\-yyyy"/>
    <numFmt numFmtId="168" formatCode="dd\-mmm\-yyyy"/>
    <numFmt numFmtId="169" formatCode="0.0"/>
  </numFmts>
  <fonts count="1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DD0806"/>
      <name val="Verdana"/>
      <family val="2"/>
    </font>
    <font>
      <i/>
      <sz val="10"/>
      <color rgb="FFDD0806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DD0806"/>
      <name val="Verdana"/>
      <family val="2"/>
    </font>
    <font>
      <sz val="12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8A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2" fontId="6" fillId="2" borderId="14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8" fillId="2" borderId="16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164" fontId="6" fillId="5" borderId="22" xfId="0" applyNumberFormat="1" applyFont="1" applyFill="1" applyBorder="1" applyAlignment="1">
      <alignment horizontal="center"/>
    </xf>
    <xf numFmtId="164" fontId="6" fillId="5" borderId="0" xfId="0" applyNumberFormat="1" applyFont="1" applyFill="1" applyAlignment="1">
      <alignment horizontal="center"/>
    </xf>
    <xf numFmtId="2" fontId="6" fillId="5" borderId="0" xfId="0" applyNumberFormat="1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164" fontId="6" fillId="5" borderId="23" xfId="0" applyNumberFormat="1" applyFont="1" applyFill="1" applyBorder="1" applyAlignment="1">
      <alignment horizontal="center"/>
    </xf>
    <xf numFmtId="2" fontId="6" fillId="5" borderId="24" xfId="0" applyNumberFormat="1" applyFont="1" applyFill="1" applyBorder="1" applyAlignment="1">
      <alignment horizontal="center"/>
    </xf>
    <xf numFmtId="2" fontId="6" fillId="5" borderId="25" xfId="0" applyNumberFormat="1" applyFont="1" applyFill="1" applyBorder="1" applyAlignment="1">
      <alignment horizontal="center"/>
    </xf>
    <xf numFmtId="2" fontId="6" fillId="5" borderId="25" xfId="0" applyNumberFormat="1" applyFont="1" applyFill="1" applyBorder="1" applyAlignment="1">
      <alignment horizontal="center" vertical="center" wrapText="1"/>
    </xf>
    <xf numFmtId="2" fontId="6" fillId="5" borderId="5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0" fillId="8" borderId="0" xfId="0" applyFill="1"/>
    <xf numFmtId="0" fontId="0" fillId="7" borderId="0" xfId="0" applyFill="1" applyBorder="1"/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3" fillId="0" borderId="0" xfId="0" applyFont="1" applyAlignment="1">
      <alignment horizontal="left"/>
    </xf>
    <xf numFmtId="0" fontId="0" fillId="0" borderId="0" xfId="0" applyFont="1" applyAlignment="1"/>
    <xf numFmtId="0" fontId="9" fillId="0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2" fillId="10" borderId="26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9" borderId="0" xfId="0" applyFont="1" applyFill="1" applyAlignment="1">
      <alignment horizontal="left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left"/>
    </xf>
    <xf numFmtId="0" fontId="0" fillId="0" borderId="0" xfId="0" applyFont="1"/>
    <xf numFmtId="166" fontId="14" fillId="0" borderId="0" xfId="0" applyNumberFormat="1" applyFont="1" applyAlignment="1">
      <alignment horizontal="left"/>
    </xf>
    <xf numFmtId="167" fontId="0" fillId="0" borderId="0" xfId="0" applyNumberFormat="1" applyFont="1" applyAlignment="1">
      <alignment horizontal="left"/>
    </xf>
    <xf numFmtId="168" fontId="0" fillId="0" borderId="0" xfId="0" applyNumberFormat="1" applyFont="1" applyAlignment="1">
      <alignment horizontal="left"/>
    </xf>
    <xf numFmtId="4" fontId="0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69" fontId="0" fillId="0" borderId="0" xfId="0" applyNumberFormat="1" applyFont="1" applyAlignment="1">
      <alignment horizontal="center"/>
    </xf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0"/>
  <tableStyles count="0" defaultTableStyle="TableStyleMedium2" defaultPivotStyle="PivotStyleLight16"/>
  <colors>
    <mruColors>
      <color rgb="FFFF00FD"/>
      <color rgb="FFFFFF8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1A5B-7E51-3048-954C-31F343133A9D}">
  <dimension ref="A1:CC125"/>
  <sheetViews>
    <sheetView tabSelected="1" zoomScaleNormal="100" workbookViewId="0">
      <pane ySplit="2" topLeftCell="A74" activePane="bottomLeft" state="frozen"/>
      <selection activeCell="Q1" sqref="Q1"/>
      <selection pane="bottomLeft" activeCell="J97" sqref="J97"/>
    </sheetView>
  </sheetViews>
  <sheetFormatPr baseColWidth="10" defaultColWidth="11.1640625" defaultRowHeight="16" x14ac:dyDescent="0.2"/>
  <cols>
    <col min="1" max="1" width="15.83203125" style="53" customWidth="1"/>
    <col min="2" max="2" width="5.6640625" style="64" bestFit="1" customWidth="1"/>
    <col min="3" max="3" width="7.1640625" style="54" bestFit="1" customWidth="1"/>
    <col min="4" max="4" width="4" style="49" bestFit="1" customWidth="1"/>
    <col min="5" max="9" width="6.1640625" style="48" customWidth="1"/>
    <col min="10" max="10" width="11.1640625" style="54"/>
    <col min="11" max="11" width="8.83203125" style="54" customWidth="1"/>
    <col min="12" max="12" width="7.33203125" style="54" customWidth="1"/>
    <col min="13" max="13" width="6.83203125" style="54" customWidth="1"/>
    <col min="14" max="14" width="5.83203125" style="54" customWidth="1"/>
    <col min="15" max="15" width="6.83203125" style="54" customWidth="1"/>
    <col min="16" max="28" width="11.1640625" style="49"/>
    <col min="29" max="29" width="12.83203125" style="49" bestFit="1" customWidth="1"/>
    <col min="30" max="16384" width="11.1640625" style="49"/>
  </cols>
  <sheetData>
    <row r="1" spans="1:34" x14ac:dyDescent="0.2">
      <c r="A1" s="19"/>
      <c r="B1" s="63"/>
      <c r="C1" s="20"/>
      <c r="D1" s="19"/>
      <c r="E1" s="58" t="s">
        <v>36</v>
      </c>
      <c r="F1" s="59"/>
      <c r="G1" s="59"/>
      <c r="H1" s="59"/>
      <c r="I1" s="59"/>
      <c r="J1" s="20"/>
      <c r="K1" s="20"/>
      <c r="L1" s="20"/>
      <c r="M1" s="55" t="s">
        <v>23</v>
      </c>
      <c r="N1" s="56"/>
      <c r="O1" s="57"/>
    </row>
    <row r="2" spans="1:34" s="24" customFormat="1" ht="35" thickBot="1" x14ac:dyDescent="0.2">
      <c r="A2" s="22" t="s">
        <v>67</v>
      </c>
      <c r="B2" s="22" t="s">
        <v>25</v>
      </c>
      <c r="C2" s="22" t="s">
        <v>26</v>
      </c>
      <c r="D2" s="22" t="s">
        <v>24</v>
      </c>
      <c r="E2" s="31" t="s">
        <v>37</v>
      </c>
      <c r="F2" s="31" t="s">
        <v>38</v>
      </c>
      <c r="G2" s="31" t="s">
        <v>32</v>
      </c>
      <c r="H2" s="31" t="s">
        <v>39</v>
      </c>
      <c r="I2" s="31" t="s">
        <v>33</v>
      </c>
      <c r="J2" s="22" t="s">
        <v>8</v>
      </c>
      <c r="K2" s="22" t="s">
        <v>9</v>
      </c>
      <c r="L2" s="28" t="s">
        <v>2</v>
      </c>
      <c r="M2" s="21" t="s">
        <v>3</v>
      </c>
      <c r="N2" s="22" t="s">
        <v>4</v>
      </c>
      <c r="O2" s="23" t="s">
        <v>5</v>
      </c>
      <c r="P2" s="38" t="s">
        <v>41</v>
      </c>
      <c r="Q2" s="39" t="s">
        <v>42</v>
      </c>
      <c r="R2" s="39" t="s">
        <v>43</v>
      </c>
      <c r="S2" s="39" t="s">
        <v>32</v>
      </c>
      <c r="T2" s="40" t="s">
        <v>44</v>
      </c>
      <c r="U2" s="39" t="s">
        <v>45</v>
      </c>
      <c r="V2" s="40" t="s">
        <v>46</v>
      </c>
      <c r="W2" s="39" t="s">
        <v>47</v>
      </c>
      <c r="X2" s="39" t="s">
        <v>48</v>
      </c>
      <c r="Y2" s="39" t="s">
        <v>49</v>
      </c>
      <c r="Z2" s="39" t="s">
        <v>50</v>
      </c>
      <c r="AA2" s="39" t="s">
        <v>51</v>
      </c>
      <c r="AB2" s="39" t="s">
        <v>52</v>
      </c>
      <c r="AC2" s="35" t="s">
        <v>53</v>
      </c>
      <c r="AD2" s="35" t="s">
        <v>54</v>
      </c>
      <c r="AE2" s="35" t="s">
        <v>55</v>
      </c>
      <c r="AF2" s="41" t="s">
        <v>46</v>
      </c>
      <c r="AG2" s="24" t="s">
        <v>56</v>
      </c>
      <c r="AH2" s="24" t="s">
        <v>119</v>
      </c>
    </row>
    <row r="3" spans="1:34" x14ac:dyDescent="0.2">
      <c r="A3" s="44" t="s">
        <v>68</v>
      </c>
      <c r="B3" s="64">
        <v>57</v>
      </c>
      <c r="C3" s="54" t="s">
        <v>28</v>
      </c>
      <c r="D3" s="49" t="s">
        <v>1</v>
      </c>
      <c r="E3" s="32">
        <v>38.49</v>
      </c>
      <c r="F3" s="32">
        <v>38.33</v>
      </c>
      <c r="G3" s="32">
        <v>2.79</v>
      </c>
      <c r="H3" s="32">
        <v>25.89</v>
      </c>
      <c r="I3" s="32">
        <v>4.67</v>
      </c>
      <c r="J3" s="54" t="s">
        <v>22</v>
      </c>
      <c r="K3" s="54">
        <v>119.1</v>
      </c>
      <c r="L3" s="54">
        <v>21</v>
      </c>
      <c r="M3" s="1">
        <v>0</v>
      </c>
      <c r="N3" s="54">
        <v>0</v>
      </c>
      <c r="O3" s="2">
        <f t="shared" ref="O3:O33" si="0">M3+(N3/2)</f>
        <v>0</v>
      </c>
      <c r="P3" s="33">
        <v>-3.5999999999999997E-2</v>
      </c>
      <c r="Q3" s="34">
        <v>0.31900000000000001</v>
      </c>
      <c r="R3" s="34">
        <v>0.17499999999999999</v>
      </c>
      <c r="S3" s="35">
        <f>G3</f>
        <v>2.79</v>
      </c>
      <c r="T3" s="35">
        <f>H3</f>
        <v>25.89</v>
      </c>
      <c r="U3" s="35">
        <f>((1.3375-1)/F3*1000)</f>
        <v>8.8051134881294004</v>
      </c>
      <c r="V3" s="35">
        <v>0</v>
      </c>
      <c r="W3" s="35">
        <f>P3+Q3*S3+R3*T3</f>
        <v>5.3847599999999991</v>
      </c>
      <c r="X3" s="35">
        <f t="shared" ref="X3:X33" si="1">(1331.5-1000)/U3</f>
        <v>37.648577777777788</v>
      </c>
      <c r="Y3" s="35">
        <f t="shared" ref="Y3:Y33" si="2">V3/(1-12*0.001*V3)</f>
        <v>0</v>
      </c>
      <c r="Z3" s="35">
        <f t="shared" ref="Z3:Z33" si="3">1336/(T3-W3)</f>
        <v>65.154077689410116</v>
      </c>
      <c r="AA3" s="35">
        <f t="shared" ref="AA3:AA33" si="4">1336/((1336/(X3+Y3))-W3)</f>
        <v>44.383453022638513</v>
      </c>
      <c r="AB3" s="36">
        <f t="shared" ref="AB3:AB33" si="5">Z3-AA3</f>
        <v>20.770624666771603</v>
      </c>
      <c r="AC3" s="34">
        <f t="shared" ref="AC3:AC33" si="6">1336*(1336-L3*(T3-W3))</f>
        <v>1209600.9865599999</v>
      </c>
      <c r="AD3" s="34">
        <f t="shared" ref="AD3:AD33" si="7">1336*(T3-W3)+W3*(1336-L3*(T3-W3))</f>
        <v>32270.308281009602</v>
      </c>
      <c r="AE3" s="34">
        <f t="shared" ref="AE3:AE33" si="8">AC3/AD3</f>
        <v>37.483403505997018</v>
      </c>
      <c r="AF3" s="37">
        <f>(AE3-X3)/(1+(AE3-X3)*(12*0.001))</f>
        <v>-0.16550231246805003</v>
      </c>
      <c r="AG3" s="25">
        <f>O3-AF3</f>
        <v>0.16550231246805003</v>
      </c>
      <c r="AH3" s="25">
        <f>SQRT(AG3*AG3)</f>
        <v>0.16550231246805003</v>
      </c>
    </row>
    <row r="4" spans="1:34" x14ac:dyDescent="0.2">
      <c r="A4" s="44" t="s">
        <v>69</v>
      </c>
      <c r="B4" s="64">
        <v>55</v>
      </c>
      <c r="C4" s="54" t="s">
        <v>28</v>
      </c>
      <c r="D4" s="49" t="s">
        <v>0</v>
      </c>
      <c r="E4" s="32">
        <v>38.1</v>
      </c>
      <c r="F4" s="32">
        <v>37.270000000000003</v>
      </c>
      <c r="G4" s="32">
        <v>3.2</v>
      </c>
      <c r="H4" s="32">
        <v>27.09</v>
      </c>
      <c r="I4" s="32">
        <v>4.91</v>
      </c>
      <c r="J4" s="54" t="s">
        <v>6</v>
      </c>
      <c r="K4" s="54">
        <v>119</v>
      </c>
      <c r="L4" s="54">
        <v>19.5</v>
      </c>
      <c r="M4" s="1">
        <v>-0.25</v>
      </c>
      <c r="N4" s="54">
        <v>0</v>
      </c>
      <c r="O4" s="2">
        <f t="shared" si="0"/>
        <v>-0.25</v>
      </c>
      <c r="P4" s="33">
        <v>-0.76900000000000002</v>
      </c>
      <c r="Q4" s="34">
        <v>0.23400000000000001</v>
      </c>
      <c r="R4" s="34">
        <v>0.217</v>
      </c>
      <c r="S4" s="35">
        <f>G4</f>
        <v>3.2</v>
      </c>
      <c r="T4" s="35">
        <f>H4</f>
        <v>27.09</v>
      </c>
      <c r="U4" s="35">
        <f>((1.3375-1)/F4*1000)</f>
        <v>9.0555406493157999</v>
      </c>
      <c r="V4" s="35">
        <v>0</v>
      </c>
      <c r="W4" s="35">
        <f t="shared" ref="W4:W33" si="9">P4+Q4*S4+R4*T4</f>
        <v>5.8583299999999996</v>
      </c>
      <c r="X4" s="35">
        <f t="shared" si="1"/>
        <v>36.60742222222224</v>
      </c>
      <c r="Y4" s="35">
        <f t="shared" si="2"/>
        <v>0</v>
      </c>
      <c r="Z4" s="35">
        <f t="shared" si="3"/>
        <v>62.924866484831384</v>
      </c>
      <c r="AA4" s="35">
        <f t="shared" si="4"/>
        <v>43.607401042505813</v>
      </c>
      <c r="AB4" s="36">
        <f t="shared" si="5"/>
        <v>19.31746544232557</v>
      </c>
      <c r="AC4" s="34">
        <f t="shared" si="6"/>
        <v>1231768.5331599999</v>
      </c>
      <c r="AD4" s="34">
        <f t="shared" si="7"/>
        <v>33766.788478433555</v>
      </c>
      <c r="AE4" s="34">
        <f t="shared" si="8"/>
        <v>36.478699594032037</v>
      </c>
      <c r="AF4" s="37">
        <f t="shared" ref="AF4:AF33" si="10">(AE4-X4)/(1+(AE4-X4)*(12*0.001))</f>
        <v>-0.12892176997895513</v>
      </c>
      <c r="AG4" s="25">
        <f t="shared" ref="AG4:AG33" si="11">O4-AF4</f>
        <v>-0.12107823002104487</v>
      </c>
      <c r="AH4" s="25">
        <f t="shared" ref="AH4:AH33" si="12">SQRT(AG4*AG4)</f>
        <v>0.12107823002104487</v>
      </c>
    </row>
    <row r="5" spans="1:34" x14ac:dyDescent="0.2">
      <c r="A5" s="44" t="s">
        <v>70</v>
      </c>
      <c r="B5" s="29">
        <v>55</v>
      </c>
      <c r="C5" s="30" t="s">
        <v>27</v>
      </c>
      <c r="D5" s="49" t="s">
        <v>0</v>
      </c>
      <c r="E5" s="32">
        <v>38.049999999999997</v>
      </c>
      <c r="F5" s="32">
        <v>37.82</v>
      </c>
      <c r="G5" s="32">
        <v>3.31</v>
      </c>
      <c r="H5" s="32">
        <v>29.98</v>
      </c>
      <c r="I5" s="32">
        <v>4.17</v>
      </c>
      <c r="J5" s="54" t="s">
        <v>6</v>
      </c>
      <c r="K5" s="54">
        <v>119</v>
      </c>
      <c r="L5" s="54">
        <v>16</v>
      </c>
      <c r="M5" s="1">
        <v>-2</v>
      </c>
      <c r="N5" s="54">
        <v>0</v>
      </c>
      <c r="O5" s="2">
        <f t="shared" si="0"/>
        <v>-2</v>
      </c>
      <c r="P5" s="33">
        <v>-0.76900000000000002</v>
      </c>
      <c r="Q5" s="34">
        <v>0.23400000000000001</v>
      </c>
      <c r="R5" s="34">
        <v>0.217</v>
      </c>
      <c r="S5" s="35">
        <f>G5</f>
        <v>3.31</v>
      </c>
      <c r="T5" s="35">
        <f>H5</f>
        <v>29.98</v>
      </c>
      <c r="U5" s="35">
        <f>((1.3375-1)/F5*1000)</f>
        <v>8.9238498149127423</v>
      </c>
      <c r="V5" s="35">
        <v>0</v>
      </c>
      <c r="W5" s="35">
        <f t="shared" si="9"/>
        <v>6.5111999999999997</v>
      </c>
      <c r="X5" s="35">
        <f t="shared" si="1"/>
        <v>37.147644444444452</v>
      </c>
      <c r="Y5" s="35">
        <f t="shared" si="2"/>
        <v>0</v>
      </c>
      <c r="Z5" s="35">
        <f t="shared" si="3"/>
        <v>56.926643032451594</v>
      </c>
      <c r="AA5" s="35">
        <f t="shared" si="4"/>
        <v>45.359795871338854</v>
      </c>
      <c r="AB5" s="36">
        <f t="shared" si="5"/>
        <v>11.56684716111274</v>
      </c>
      <c r="AC5" s="34">
        <f t="shared" si="6"/>
        <v>1283226.9312</v>
      </c>
      <c r="AD5" s="34">
        <f t="shared" si="7"/>
        <v>37608.319191039998</v>
      </c>
      <c r="AE5" s="34">
        <f t="shared" si="8"/>
        <v>34.12082642357818</v>
      </c>
      <c r="AF5" s="37">
        <f t="shared" si="10"/>
        <v>-3.1409012592659664</v>
      </c>
      <c r="AG5" s="25">
        <f t="shared" si="11"/>
        <v>1.1409012592659664</v>
      </c>
      <c r="AH5" s="25">
        <f t="shared" si="12"/>
        <v>1.1409012592659664</v>
      </c>
    </row>
    <row r="6" spans="1:34" x14ac:dyDescent="0.2">
      <c r="A6" s="44" t="s">
        <v>71</v>
      </c>
      <c r="B6" s="29">
        <v>57</v>
      </c>
      <c r="C6" s="30" t="s">
        <v>28</v>
      </c>
      <c r="D6" s="49" t="s">
        <v>1</v>
      </c>
      <c r="E6" s="32">
        <v>40.369999999999997</v>
      </c>
      <c r="F6" s="32">
        <v>40.15</v>
      </c>
      <c r="G6" s="32">
        <v>3.72</v>
      </c>
      <c r="H6" s="32">
        <v>25.48</v>
      </c>
      <c r="I6" s="32">
        <v>4.63</v>
      </c>
      <c r="J6" s="54" t="s">
        <v>29</v>
      </c>
      <c r="K6" s="54">
        <v>119.1</v>
      </c>
      <c r="L6" s="54">
        <v>20.5</v>
      </c>
      <c r="M6" s="1">
        <v>0</v>
      </c>
      <c r="N6" s="54">
        <v>0</v>
      </c>
      <c r="O6" s="2">
        <f t="shared" si="0"/>
        <v>0</v>
      </c>
      <c r="P6" s="33">
        <v>5.0999999999999997E-2</v>
      </c>
      <c r="Q6" s="34">
        <v>0.14000000000000001</v>
      </c>
      <c r="R6" s="34">
        <v>0.19700000000000001</v>
      </c>
      <c r="S6" s="35">
        <f>G6</f>
        <v>3.72</v>
      </c>
      <c r="T6" s="35">
        <f>H6</f>
        <v>25.48</v>
      </c>
      <c r="U6" s="35">
        <f>((1.3375-1)/F6*1000)</f>
        <v>8.4059775840597748</v>
      </c>
      <c r="V6" s="35">
        <v>0</v>
      </c>
      <c r="W6" s="35">
        <f t="shared" si="9"/>
        <v>5.5913599999999999</v>
      </c>
      <c r="X6" s="35">
        <f t="shared" si="1"/>
        <v>39.436222222222227</v>
      </c>
      <c r="Y6" s="35">
        <f t="shared" si="2"/>
        <v>0</v>
      </c>
      <c r="Z6" s="35">
        <f t="shared" si="3"/>
        <v>67.174024971038733</v>
      </c>
      <c r="AA6" s="35">
        <f t="shared" si="4"/>
        <v>47.231638553729752</v>
      </c>
      <c r="AB6" s="36">
        <f t="shared" si="5"/>
        <v>19.942386417308981</v>
      </c>
      <c r="AC6" s="34">
        <f t="shared" si="6"/>
        <v>1240185.92768</v>
      </c>
      <c r="AD6" s="34">
        <f t="shared" si="7"/>
        <v>31761.586803916805</v>
      </c>
      <c r="AE6" s="34">
        <f t="shared" si="8"/>
        <v>39.046724439065542</v>
      </c>
      <c r="AF6" s="37">
        <f t="shared" si="10"/>
        <v>-0.39132683437040877</v>
      </c>
      <c r="AG6" s="25">
        <f t="shared" si="11"/>
        <v>0.39132683437040877</v>
      </c>
      <c r="AH6" s="25">
        <f t="shared" si="12"/>
        <v>0.39132683437040877</v>
      </c>
    </row>
    <row r="7" spans="1:34" x14ac:dyDescent="0.2">
      <c r="A7" s="44" t="s">
        <v>72</v>
      </c>
      <c r="B7" s="65">
        <v>53</v>
      </c>
      <c r="C7" s="30" t="s">
        <v>27</v>
      </c>
      <c r="D7" s="49" t="s">
        <v>0</v>
      </c>
      <c r="E7" s="32">
        <v>38.409999999999997</v>
      </c>
      <c r="F7" s="32">
        <v>38.07</v>
      </c>
      <c r="G7" s="32">
        <v>3.35</v>
      </c>
      <c r="H7" s="32">
        <v>27.12</v>
      </c>
      <c r="I7" s="32">
        <v>4.03</v>
      </c>
      <c r="J7" s="54" t="s">
        <v>11</v>
      </c>
      <c r="K7" s="54">
        <v>119.3</v>
      </c>
      <c r="L7" s="54">
        <v>19.5</v>
      </c>
      <c r="M7" s="1">
        <v>-0.75</v>
      </c>
      <c r="N7" s="54">
        <v>0</v>
      </c>
      <c r="O7" s="2">
        <f t="shared" si="0"/>
        <v>-0.75</v>
      </c>
      <c r="P7" s="33">
        <v>-1.302</v>
      </c>
      <c r="Q7" s="34">
        <v>0.21</v>
      </c>
      <c r="R7" s="34">
        <v>0.251</v>
      </c>
      <c r="S7" s="35">
        <f>G7</f>
        <v>3.35</v>
      </c>
      <c r="T7" s="35">
        <f>H7</f>
        <v>27.12</v>
      </c>
      <c r="U7" s="35">
        <f>((1.3375-1)/F7*1000)</f>
        <v>8.8652482269503512</v>
      </c>
      <c r="V7" s="35">
        <v>0</v>
      </c>
      <c r="W7" s="35">
        <f t="shared" si="9"/>
        <v>6.2086199999999998</v>
      </c>
      <c r="X7" s="35">
        <f t="shared" si="1"/>
        <v>37.393200000000014</v>
      </c>
      <c r="Y7" s="35">
        <f t="shared" si="2"/>
        <v>0</v>
      </c>
      <c r="Z7" s="35">
        <f t="shared" si="3"/>
        <v>63.888657754772758</v>
      </c>
      <c r="AA7" s="35">
        <f t="shared" si="4"/>
        <v>45.257757343401217</v>
      </c>
      <c r="AB7" s="36">
        <f t="shared" si="5"/>
        <v>18.630900411371542</v>
      </c>
      <c r="AC7" s="34">
        <f t="shared" si="6"/>
        <v>1240112.7282399999</v>
      </c>
      <c r="AD7" s="34">
        <f t="shared" si="7"/>
        <v>33700.619164135802</v>
      </c>
      <c r="AE7" s="34">
        <f t="shared" si="8"/>
        <v>36.797921195457675</v>
      </c>
      <c r="AF7" s="37">
        <f t="shared" si="10"/>
        <v>-0.59956168086999118</v>
      </c>
      <c r="AG7" s="25">
        <f t="shared" si="11"/>
        <v>-0.15043831913000882</v>
      </c>
      <c r="AH7" s="25">
        <f t="shared" si="12"/>
        <v>0.15043831913000882</v>
      </c>
    </row>
    <row r="8" spans="1:34" x14ac:dyDescent="0.2">
      <c r="A8" s="44" t="s">
        <v>73</v>
      </c>
      <c r="B8" s="29">
        <v>58</v>
      </c>
      <c r="C8" s="30" t="s">
        <v>28</v>
      </c>
      <c r="D8" s="49" t="s">
        <v>0</v>
      </c>
      <c r="E8" s="32">
        <v>41.71</v>
      </c>
      <c r="F8" s="32">
        <v>41.31</v>
      </c>
      <c r="G8" s="32">
        <v>3.92</v>
      </c>
      <c r="H8" s="32">
        <v>25.82</v>
      </c>
      <c r="I8" s="32">
        <v>4.0199999999999996</v>
      </c>
      <c r="J8" s="54" t="s">
        <v>12</v>
      </c>
      <c r="K8" s="54">
        <v>118.6</v>
      </c>
      <c r="L8" s="54">
        <v>17.5</v>
      </c>
      <c r="M8" s="1">
        <v>-0.5</v>
      </c>
      <c r="N8" s="54">
        <v>0</v>
      </c>
      <c r="O8" s="2">
        <f t="shared" si="0"/>
        <v>-0.5</v>
      </c>
      <c r="P8" s="33">
        <v>1.363</v>
      </c>
      <c r="Q8" s="34">
        <v>0.4</v>
      </c>
      <c r="R8" s="34">
        <v>0.1</v>
      </c>
      <c r="S8" s="35">
        <f>G8</f>
        <v>3.92</v>
      </c>
      <c r="T8" s="35">
        <f>H8</f>
        <v>25.82</v>
      </c>
      <c r="U8" s="35">
        <f>((1.3375-1)/F8*1000)</f>
        <v>8.1699346405228734</v>
      </c>
      <c r="V8" s="35">
        <v>0</v>
      </c>
      <c r="W8" s="35">
        <f t="shared" si="9"/>
        <v>5.5129999999999999</v>
      </c>
      <c r="X8" s="35">
        <f t="shared" si="1"/>
        <v>40.575600000000009</v>
      </c>
      <c r="Y8" s="35">
        <f t="shared" si="2"/>
        <v>0</v>
      </c>
      <c r="Z8" s="35">
        <f t="shared" si="3"/>
        <v>65.790121632934444</v>
      </c>
      <c r="AA8" s="35">
        <f t="shared" si="4"/>
        <v>48.735659653714819</v>
      </c>
      <c r="AB8" s="36">
        <f t="shared" si="5"/>
        <v>17.054461979219624</v>
      </c>
      <c r="AC8" s="34">
        <f t="shared" si="6"/>
        <v>1310118.3399999999</v>
      </c>
      <c r="AD8" s="34">
        <f t="shared" si="7"/>
        <v>32536.351407500002</v>
      </c>
      <c r="AE8" s="34">
        <f t="shared" si="8"/>
        <v>40.266295491817274</v>
      </c>
      <c r="AF8" s="37">
        <f t="shared" si="10"/>
        <v>-0.31045681649800083</v>
      </c>
      <c r="AG8" s="25">
        <f t="shared" si="11"/>
        <v>-0.18954318350199917</v>
      </c>
      <c r="AH8" s="25">
        <f t="shared" si="12"/>
        <v>0.18954318350199917</v>
      </c>
    </row>
    <row r="9" spans="1:34" x14ac:dyDescent="0.2">
      <c r="A9" s="44" t="s">
        <v>74</v>
      </c>
      <c r="B9" s="29">
        <v>57</v>
      </c>
      <c r="C9" s="30" t="s">
        <v>27</v>
      </c>
      <c r="D9" s="49" t="s">
        <v>1</v>
      </c>
      <c r="E9" s="32">
        <v>40.01</v>
      </c>
      <c r="F9" s="32">
        <v>39.799999999999997</v>
      </c>
      <c r="G9" s="32">
        <v>3.55</v>
      </c>
      <c r="H9" s="32">
        <v>25.51</v>
      </c>
      <c r="I9" s="32">
        <v>4.29</v>
      </c>
      <c r="J9" s="54" t="s">
        <v>6</v>
      </c>
      <c r="K9" s="54">
        <v>119</v>
      </c>
      <c r="L9" s="54">
        <v>20</v>
      </c>
      <c r="M9" s="1">
        <v>0</v>
      </c>
      <c r="N9" s="54">
        <v>0</v>
      </c>
      <c r="O9" s="2">
        <f t="shared" si="0"/>
        <v>0</v>
      </c>
      <c r="P9" s="33">
        <v>-0.76900000000000002</v>
      </c>
      <c r="Q9" s="34">
        <v>0.23400000000000001</v>
      </c>
      <c r="R9" s="34">
        <v>0.217</v>
      </c>
      <c r="S9" s="35">
        <f>G9</f>
        <v>3.55</v>
      </c>
      <c r="T9" s="35">
        <f>H9</f>
        <v>25.51</v>
      </c>
      <c r="U9" s="35">
        <f>((1.3375-1)/F9*1000)</f>
        <v>8.4798994974874358</v>
      </c>
      <c r="V9" s="35">
        <v>0</v>
      </c>
      <c r="W9" s="35">
        <f t="shared" si="9"/>
        <v>5.5973700000000006</v>
      </c>
      <c r="X9" s="35">
        <f t="shared" si="1"/>
        <v>39.092444444444453</v>
      </c>
      <c r="Y9" s="35">
        <f t="shared" si="2"/>
        <v>0</v>
      </c>
      <c r="Z9" s="35">
        <f t="shared" si="3"/>
        <v>67.093096190709119</v>
      </c>
      <c r="AA9" s="35">
        <f t="shared" si="4"/>
        <v>46.749195495515735</v>
      </c>
      <c r="AB9" s="36">
        <f t="shared" si="5"/>
        <v>20.343900695193383</v>
      </c>
      <c r="AC9" s="34">
        <f t="shared" si="6"/>
        <v>1252830.5263999999</v>
      </c>
      <c r="AD9" s="34">
        <f t="shared" si="7"/>
        <v>31852.192844337998</v>
      </c>
      <c r="AE9" s="34">
        <f t="shared" si="8"/>
        <v>39.332630331688492</v>
      </c>
      <c r="AF9" s="37">
        <f t="shared" si="10"/>
        <v>0.23949560566957301</v>
      </c>
      <c r="AG9" s="25">
        <f t="shared" si="11"/>
        <v>-0.23949560566957301</v>
      </c>
      <c r="AH9" s="25">
        <f t="shared" si="12"/>
        <v>0.23949560566957301</v>
      </c>
    </row>
    <row r="10" spans="1:34" x14ac:dyDescent="0.2">
      <c r="A10" s="44" t="s">
        <v>75</v>
      </c>
      <c r="B10" s="29">
        <v>59</v>
      </c>
      <c r="C10" s="30" t="s">
        <v>28</v>
      </c>
      <c r="D10" s="49" t="s">
        <v>1</v>
      </c>
      <c r="E10" s="32">
        <v>36.32</v>
      </c>
      <c r="F10" s="32">
        <v>35.909999999999997</v>
      </c>
      <c r="G10" s="32">
        <v>3.94</v>
      </c>
      <c r="H10" s="32">
        <v>33.54</v>
      </c>
      <c r="I10" s="32">
        <v>3.72</v>
      </c>
      <c r="J10" s="54" t="s">
        <v>6</v>
      </c>
      <c r="K10" s="54">
        <v>119</v>
      </c>
      <c r="L10" s="54">
        <v>11</v>
      </c>
      <c r="M10" s="1">
        <v>-2.5</v>
      </c>
      <c r="N10" s="54">
        <v>-1</v>
      </c>
      <c r="O10" s="2">
        <f t="shared" si="0"/>
        <v>-3</v>
      </c>
      <c r="P10" s="33">
        <v>-0.76900000000000002</v>
      </c>
      <c r="Q10" s="34">
        <v>0.23400000000000001</v>
      </c>
      <c r="R10" s="34">
        <v>0.217</v>
      </c>
      <c r="S10" s="35">
        <f>G10</f>
        <v>3.94</v>
      </c>
      <c r="T10" s="35">
        <f>H10</f>
        <v>33.54</v>
      </c>
      <c r="U10" s="35">
        <f>((1.3375-1)/F10*1000)</f>
        <v>9.3984962406015011</v>
      </c>
      <c r="V10" s="35">
        <v>0</v>
      </c>
      <c r="W10" s="35">
        <f t="shared" si="9"/>
        <v>7.4311400000000001</v>
      </c>
      <c r="X10" s="35">
        <f t="shared" si="1"/>
        <v>35.271600000000007</v>
      </c>
      <c r="Y10" s="35">
        <f t="shared" si="2"/>
        <v>0</v>
      </c>
      <c r="Z10" s="35">
        <f t="shared" si="3"/>
        <v>51.170368985853841</v>
      </c>
      <c r="AA10" s="35">
        <f t="shared" si="4"/>
        <v>43.880451918657037</v>
      </c>
      <c r="AB10" s="36">
        <f t="shared" si="5"/>
        <v>7.2899170671968037</v>
      </c>
      <c r="AC10" s="34">
        <f t="shared" si="6"/>
        <v>1401200.1934400003</v>
      </c>
      <c r="AD10" s="34">
        <f t="shared" si="7"/>
        <v>42675.235467095597</v>
      </c>
      <c r="AE10" s="34">
        <f t="shared" si="8"/>
        <v>32.834035433041365</v>
      </c>
      <c r="AF10" s="37">
        <f t="shared" si="10"/>
        <v>-2.5110136621177697</v>
      </c>
      <c r="AG10" s="25">
        <f t="shared" si="11"/>
        <v>-0.48898633788223034</v>
      </c>
      <c r="AH10" s="25">
        <f t="shared" si="12"/>
        <v>0.48898633788223034</v>
      </c>
    </row>
    <row r="11" spans="1:34" x14ac:dyDescent="0.2">
      <c r="A11" s="44" t="s">
        <v>76</v>
      </c>
      <c r="B11" s="29">
        <v>43</v>
      </c>
      <c r="C11" s="30" t="s">
        <v>27</v>
      </c>
      <c r="D11" s="49" t="s">
        <v>1</v>
      </c>
      <c r="E11" s="32">
        <v>36.520000000000003</v>
      </c>
      <c r="F11" s="32">
        <v>35.659999999999997</v>
      </c>
      <c r="G11" s="32">
        <v>3.71</v>
      </c>
      <c r="H11" s="32">
        <v>29.41</v>
      </c>
      <c r="I11" s="32">
        <v>3.24</v>
      </c>
      <c r="J11" s="54" t="s">
        <v>31</v>
      </c>
      <c r="K11" s="54">
        <v>119.2</v>
      </c>
      <c r="L11" s="54">
        <v>16.5</v>
      </c>
      <c r="M11" s="1">
        <v>-0.5</v>
      </c>
      <c r="N11" s="54">
        <v>-0.5</v>
      </c>
      <c r="O11" s="2">
        <f t="shared" si="0"/>
        <v>-0.75</v>
      </c>
      <c r="P11" s="33">
        <v>-0.32300000000000001</v>
      </c>
      <c r="Q11" s="34">
        <v>0.21299999999999999</v>
      </c>
      <c r="R11" s="34">
        <v>0.20799999999999999</v>
      </c>
      <c r="S11" s="35">
        <f>G11</f>
        <v>3.71</v>
      </c>
      <c r="T11" s="35">
        <f>H11</f>
        <v>29.41</v>
      </c>
      <c r="U11" s="35">
        <f>((1.3375-1)/F11*1000)</f>
        <v>9.4643858665171052</v>
      </c>
      <c r="V11" s="35">
        <v>0</v>
      </c>
      <c r="W11" s="35">
        <f t="shared" si="9"/>
        <v>6.5845099999999999</v>
      </c>
      <c r="X11" s="35">
        <f t="shared" si="1"/>
        <v>35.026044444444445</v>
      </c>
      <c r="Y11" s="35">
        <f t="shared" si="2"/>
        <v>0</v>
      </c>
      <c r="Z11" s="35">
        <f t="shared" si="3"/>
        <v>58.531054535959576</v>
      </c>
      <c r="AA11" s="35">
        <f t="shared" si="4"/>
        <v>42.334030626207628</v>
      </c>
      <c r="AB11" s="36">
        <f t="shared" si="5"/>
        <v>16.197023909751948</v>
      </c>
      <c r="AC11" s="34">
        <f t="shared" si="6"/>
        <v>1281730.8984399999</v>
      </c>
      <c r="AD11" s="34">
        <f t="shared" si="7"/>
        <v>36811.897991861653</v>
      </c>
      <c r="AE11" s="34">
        <f t="shared" si="8"/>
        <v>34.818386672791604</v>
      </c>
      <c r="AF11" s="37">
        <f t="shared" si="10"/>
        <v>-0.20817652533317391</v>
      </c>
      <c r="AG11" s="25">
        <f t="shared" si="11"/>
        <v>-0.54182347466682612</v>
      </c>
      <c r="AH11" s="25">
        <f t="shared" si="12"/>
        <v>0.54182347466682612</v>
      </c>
    </row>
    <row r="12" spans="1:34" x14ac:dyDescent="0.2">
      <c r="A12" s="44" t="s">
        <v>77</v>
      </c>
      <c r="B12" s="29">
        <v>57</v>
      </c>
      <c r="C12" s="30" t="s">
        <v>28</v>
      </c>
      <c r="D12" s="49" t="s">
        <v>1</v>
      </c>
      <c r="E12" s="32">
        <v>38.06</v>
      </c>
      <c r="F12" s="32">
        <v>37.29</v>
      </c>
      <c r="G12" s="32">
        <v>3.85</v>
      </c>
      <c r="H12" s="32">
        <v>30.55</v>
      </c>
      <c r="I12" s="32">
        <v>4.26</v>
      </c>
      <c r="J12" s="54" t="s">
        <v>30</v>
      </c>
      <c r="K12" s="54">
        <v>119.2</v>
      </c>
      <c r="L12" s="2">
        <v>12.5</v>
      </c>
      <c r="M12" s="54">
        <v>0</v>
      </c>
      <c r="N12" s="54">
        <v>0</v>
      </c>
      <c r="O12" s="2">
        <f t="shared" si="0"/>
        <v>0</v>
      </c>
      <c r="P12" s="33">
        <v>-0.32300000000000001</v>
      </c>
      <c r="Q12" s="34">
        <v>0.21299999999999999</v>
      </c>
      <c r="R12" s="34">
        <v>0.20799999999999999</v>
      </c>
      <c r="S12" s="35">
        <f>G12</f>
        <v>3.85</v>
      </c>
      <c r="T12" s="35">
        <f>H12</f>
        <v>30.55</v>
      </c>
      <c r="U12" s="35">
        <f>((1.3375-1)/F12*1000)</f>
        <v>9.050683829444889</v>
      </c>
      <c r="V12" s="35">
        <v>0</v>
      </c>
      <c r="W12" s="35">
        <f t="shared" si="9"/>
        <v>6.8514499999999998</v>
      </c>
      <c r="X12" s="35">
        <f t="shared" si="1"/>
        <v>36.627066666666678</v>
      </c>
      <c r="Y12" s="35">
        <f t="shared" si="2"/>
        <v>0</v>
      </c>
      <c r="Z12" s="35">
        <f t="shared" si="3"/>
        <v>56.374757105392518</v>
      </c>
      <c r="AA12" s="35">
        <f t="shared" si="4"/>
        <v>45.098100674786217</v>
      </c>
      <c r="AB12" s="36">
        <f t="shared" si="5"/>
        <v>11.276656430606302</v>
      </c>
      <c r="AC12" s="34">
        <f t="shared" si="6"/>
        <v>1389130.2150000001</v>
      </c>
      <c r="AD12" s="34">
        <f t="shared" si="7"/>
        <v>38785.182120031248</v>
      </c>
      <c r="AE12" s="34">
        <f t="shared" si="8"/>
        <v>35.816003408233598</v>
      </c>
      <c r="AF12" s="37">
        <f t="shared" si="10"/>
        <v>-0.81903472611790051</v>
      </c>
      <c r="AG12" s="25">
        <f t="shared" si="11"/>
        <v>0.81903472611790051</v>
      </c>
      <c r="AH12" s="25">
        <f t="shared" si="12"/>
        <v>0.81903472611790051</v>
      </c>
    </row>
    <row r="13" spans="1:34" x14ac:dyDescent="0.2">
      <c r="A13" s="44" t="s">
        <v>78</v>
      </c>
      <c r="B13" s="29">
        <v>54</v>
      </c>
      <c r="C13" s="30" t="s">
        <v>27</v>
      </c>
      <c r="D13" s="49" t="s">
        <v>0</v>
      </c>
      <c r="E13" s="32">
        <v>37.29</v>
      </c>
      <c r="F13" s="32">
        <v>36.229999999999997</v>
      </c>
      <c r="G13" s="32">
        <v>3.26</v>
      </c>
      <c r="H13" s="32">
        <v>28.38</v>
      </c>
      <c r="I13" s="32">
        <v>4.34</v>
      </c>
      <c r="J13" s="54" t="s">
        <v>6</v>
      </c>
      <c r="K13" s="54">
        <v>119</v>
      </c>
      <c r="L13" s="2">
        <v>21.5</v>
      </c>
      <c r="M13" s="54">
        <v>-3.5</v>
      </c>
      <c r="N13" s="54">
        <v>0</v>
      </c>
      <c r="O13" s="2">
        <f t="shared" si="0"/>
        <v>-3.5</v>
      </c>
      <c r="P13" s="33">
        <v>-0.76900000000000002</v>
      </c>
      <c r="Q13" s="34">
        <v>0.23400000000000001</v>
      </c>
      <c r="R13" s="34">
        <v>0.217</v>
      </c>
      <c r="S13" s="35">
        <f>G13</f>
        <v>3.26</v>
      </c>
      <c r="T13" s="35">
        <f>H13</f>
        <v>28.38</v>
      </c>
      <c r="U13" s="35">
        <f>((1.3375-1)/F13*1000)</f>
        <v>9.3154844051890695</v>
      </c>
      <c r="V13" s="35">
        <v>0</v>
      </c>
      <c r="W13" s="35">
        <f t="shared" si="9"/>
        <v>6.1522999999999994</v>
      </c>
      <c r="X13" s="35">
        <f t="shared" si="1"/>
        <v>35.585911111111109</v>
      </c>
      <c r="Y13" s="35">
        <f t="shared" si="2"/>
        <v>0</v>
      </c>
      <c r="Z13" s="35">
        <f t="shared" si="3"/>
        <v>60.105184072126221</v>
      </c>
      <c r="AA13" s="35">
        <f t="shared" si="4"/>
        <v>42.560447060885252</v>
      </c>
      <c r="AB13" s="36">
        <f t="shared" si="5"/>
        <v>17.544737011240969</v>
      </c>
      <c r="AC13" s="34">
        <f t="shared" si="6"/>
        <v>1146427.5452000001</v>
      </c>
      <c r="AD13" s="34">
        <f t="shared" si="7"/>
        <v>34975.523207734994</v>
      </c>
      <c r="AE13" s="34">
        <f t="shared" si="8"/>
        <v>32.777995582535347</v>
      </c>
      <c r="AF13" s="37">
        <f t="shared" si="10"/>
        <v>-2.9058273411506867</v>
      </c>
      <c r="AG13" s="25">
        <f t="shared" si="11"/>
        <v>-0.59417265884931325</v>
      </c>
      <c r="AH13" s="25">
        <f t="shared" si="12"/>
        <v>0.59417265884931325</v>
      </c>
    </row>
    <row r="14" spans="1:34" x14ac:dyDescent="0.2">
      <c r="A14" s="44" t="s">
        <v>79</v>
      </c>
      <c r="B14" s="29">
        <v>59</v>
      </c>
      <c r="C14" s="30" t="s">
        <v>27</v>
      </c>
      <c r="D14" s="49" t="s">
        <v>1</v>
      </c>
      <c r="E14" s="32">
        <v>37.99</v>
      </c>
      <c r="F14" s="32">
        <v>37.35</v>
      </c>
      <c r="G14" s="32">
        <v>3.03</v>
      </c>
      <c r="H14" s="32">
        <v>26.23</v>
      </c>
      <c r="I14" s="32">
        <v>3.98</v>
      </c>
      <c r="J14" s="26" t="s">
        <v>30</v>
      </c>
      <c r="K14" s="54">
        <v>119.2</v>
      </c>
      <c r="L14" s="54">
        <v>22</v>
      </c>
      <c r="M14" s="54">
        <v>0</v>
      </c>
      <c r="N14" s="54">
        <v>0</v>
      </c>
      <c r="O14" s="2">
        <f t="shared" si="0"/>
        <v>0</v>
      </c>
      <c r="P14" s="33">
        <v>-0.32300000000000001</v>
      </c>
      <c r="Q14" s="34">
        <v>0.21299999999999999</v>
      </c>
      <c r="R14" s="34">
        <v>0.20799999999999999</v>
      </c>
      <c r="S14" s="35">
        <f>G14</f>
        <v>3.03</v>
      </c>
      <c r="T14" s="35">
        <f>H14</f>
        <v>26.23</v>
      </c>
      <c r="U14" s="35">
        <f>((1.3375-1)/F14*1000)</f>
        <v>9.0361445783132517</v>
      </c>
      <c r="V14" s="35">
        <v>0</v>
      </c>
      <c r="W14" s="35">
        <f t="shared" si="9"/>
        <v>5.7782299999999998</v>
      </c>
      <c r="X14" s="35">
        <f t="shared" si="1"/>
        <v>36.686000000000007</v>
      </c>
      <c r="Y14" s="35">
        <f t="shared" si="2"/>
        <v>0</v>
      </c>
      <c r="Z14" s="35">
        <f t="shared" si="3"/>
        <v>65.324419353434934</v>
      </c>
      <c r="AA14" s="35">
        <f t="shared" si="4"/>
        <v>43.604653259449442</v>
      </c>
      <c r="AB14" s="36">
        <f t="shared" si="5"/>
        <v>21.719766093985491</v>
      </c>
      <c r="AC14" s="34">
        <f t="shared" si="6"/>
        <v>1183777.5761599999</v>
      </c>
      <c r="AD14" s="34">
        <f t="shared" si="7"/>
        <v>32443.4293187238</v>
      </c>
      <c r="AE14" s="34">
        <f t="shared" si="8"/>
        <v>36.487436778972572</v>
      </c>
      <c r="AF14" s="37">
        <f t="shared" si="10"/>
        <v>-0.19903747930338256</v>
      </c>
      <c r="AG14" s="25">
        <f t="shared" si="11"/>
        <v>0.19903747930338256</v>
      </c>
      <c r="AH14" s="25">
        <f t="shared" si="12"/>
        <v>0.19903747930338256</v>
      </c>
    </row>
    <row r="15" spans="1:34" x14ac:dyDescent="0.2">
      <c r="A15" s="44" t="s">
        <v>80</v>
      </c>
      <c r="B15" s="29">
        <v>77</v>
      </c>
      <c r="C15" s="30" t="s">
        <v>27</v>
      </c>
      <c r="D15" s="49" t="s">
        <v>1</v>
      </c>
      <c r="E15" s="32">
        <v>38.75</v>
      </c>
      <c r="F15" s="32">
        <v>38.36</v>
      </c>
      <c r="G15" s="32">
        <v>3.37</v>
      </c>
      <c r="H15" s="32">
        <v>27.75</v>
      </c>
      <c r="I15" s="32">
        <v>4.82</v>
      </c>
      <c r="J15" s="54" t="s">
        <v>34</v>
      </c>
      <c r="K15" s="54">
        <v>119</v>
      </c>
      <c r="L15" s="54">
        <v>16.5</v>
      </c>
      <c r="M15" s="1">
        <v>0</v>
      </c>
      <c r="N15" s="54">
        <v>-0.5</v>
      </c>
      <c r="O15" s="2">
        <f t="shared" si="0"/>
        <v>-0.25</v>
      </c>
      <c r="P15" s="33">
        <v>-0.42309999999999998</v>
      </c>
      <c r="Q15" s="34">
        <v>0.3972</v>
      </c>
      <c r="R15" s="34">
        <v>0.17960000000000001</v>
      </c>
      <c r="S15" s="35">
        <f>G15</f>
        <v>3.37</v>
      </c>
      <c r="T15" s="35">
        <f>H15</f>
        <v>27.75</v>
      </c>
      <c r="U15" s="35">
        <f>((1.3375-1)/F15*1000)</f>
        <v>8.7982273201251289</v>
      </c>
      <c r="V15" s="35">
        <v>0</v>
      </c>
      <c r="W15" s="35">
        <f t="shared" si="9"/>
        <v>5.8993640000000003</v>
      </c>
      <c r="X15" s="35">
        <f t="shared" si="1"/>
        <v>37.678044444444453</v>
      </c>
      <c r="Y15" s="35">
        <f t="shared" si="2"/>
        <v>0</v>
      </c>
      <c r="Z15" s="35">
        <f t="shared" si="3"/>
        <v>61.142385054604354</v>
      </c>
      <c r="AA15" s="35">
        <f t="shared" si="4"/>
        <v>45.197813758931368</v>
      </c>
      <c r="AB15" s="36">
        <f t="shared" si="5"/>
        <v>15.944571295672986</v>
      </c>
      <c r="AC15" s="34">
        <f t="shared" si="6"/>
        <v>1303220.580016</v>
      </c>
      <c r="AD15" s="34">
        <f t="shared" si="7"/>
        <v>34947.06988597419</v>
      </c>
      <c r="AE15" s="34">
        <f t="shared" si="8"/>
        <v>37.291268889442435</v>
      </c>
      <c r="AF15" s="37">
        <f t="shared" si="10"/>
        <v>-0.38857906962581806</v>
      </c>
      <c r="AG15" s="25">
        <f t="shared" si="11"/>
        <v>0.13857906962581806</v>
      </c>
      <c r="AH15" s="25">
        <f t="shared" si="12"/>
        <v>0.13857906962581806</v>
      </c>
    </row>
    <row r="16" spans="1:34" x14ac:dyDescent="0.2">
      <c r="A16" s="44" t="s">
        <v>81</v>
      </c>
      <c r="B16" s="65">
        <v>76</v>
      </c>
      <c r="C16" s="30" t="s">
        <v>28</v>
      </c>
      <c r="D16" s="49" t="s">
        <v>1</v>
      </c>
      <c r="E16" s="32">
        <v>37.65</v>
      </c>
      <c r="F16" s="32">
        <v>37.19</v>
      </c>
      <c r="G16" s="32">
        <v>3.57</v>
      </c>
      <c r="H16" s="32">
        <v>29.4</v>
      </c>
      <c r="I16" s="32">
        <v>4.1500000000000004</v>
      </c>
      <c r="J16" s="54" t="s">
        <v>35</v>
      </c>
      <c r="K16" s="54">
        <v>119</v>
      </c>
      <c r="L16" s="54">
        <v>16.5</v>
      </c>
      <c r="M16" s="1">
        <v>-1.75</v>
      </c>
      <c r="N16" s="54">
        <v>-0.5</v>
      </c>
      <c r="O16" s="2">
        <f t="shared" si="0"/>
        <v>-2</v>
      </c>
      <c r="P16" s="33">
        <v>-0.76900000000000002</v>
      </c>
      <c r="Q16" s="34">
        <v>0.23400000000000001</v>
      </c>
      <c r="R16" s="34">
        <v>0.217</v>
      </c>
      <c r="S16" s="35">
        <f>G16</f>
        <v>3.57</v>
      </c>
      <c r="T16" s="35">
        <f>H16</f>
        <v>29.4</v>
      </c>
      <c r="U16" s="35">
        <f>((1.3375-1)/F16*1000)</f>
        <v>9.0750201667114787</v>
      </c>
      <c r="V16" s="35">
        <v>0</v>
      </c>
      <c r="W16" s="35">
        <f t="shared" si="9"/>
        <v>6.4461799999999991</v>
      </c>
      <c r="X16" s="35">
        <f t="shared" si="1"/>
        <v>36.528844444444459</v>
      </c>
      <c r="Y16" s="35">
        <f t="shared" si="2"/>
        <v>0</v>
      </c>
      <c r="Z16" s="35">
        <f t="shared" si="3"/>
        <v>58.203819669231528</v>
      </c>
      <c r="AA16" s="35">
        <f t="shared" si="4"/>
        <v>44.3446366588148</v>
      </c>
      <c r="AB16" s="36">
        <f t="shared" si="5"/>
        <v>13.859183010416729</v>
      </c>
      <c r="AC16" s="34">
        <f t="shared" si="6"/>
        <v>1278901.9919199999</v>
      </c>
      <c r="AD16" s="34">
        <f t="shared" si="7"/>
        <v>36836.9864857746</v>
      </c>
      <c r="AE16" s="34">
        <f t="shared" si="8"/>
        <v>34.717877707338403</v>
      </c>
      <c r="AF16" s="37">
        <f t="shared" si="10"/>
        <v>-1.8511961938776949</v>
      </c>
      <c r="AG16" s="25">
        <f t="shared" si="11"/>
        <v>-0.14880380612230515</v>
      </c>
      <c r="AH16" s="25">
        <f t="shared" si="12"/>
        <v>0.14880380612230515</v>
      </c>
    </row>
    <row r="17" spans="1:66" x14ac:dyDescent="0.2">
      <c r="A17" s="44" t="s">
        <v>82</v>
      </c>
      <c r="B17" s="65">
        <v>56</v>
      </c>
      <c r="C17" s="29" t="s">
        <v>28</v>
      </c>
      <c r="D17" s="49" t="s">
        <v>1</v>
      </c>
      <c r="E17" s="32">
        <v>38.15</v>
      </c>
      <c r="F17" s="32">
        <v>37.74</v>
      </c>
      <c r="G17" s="32">
        <v>3.33</v>
      </c>
      <c r="H17" s="32">
        <v>27.07</v>
      </c>
      <c r="I17" s="32">
        <v>5.04</v>
      </c>
      <c r="J17" s="46" t="s">
        <v>57</v>
      </c>
      <c r="K17" s="54">
        <v>119.08</v>
      </c>
      <c r="L17" s="54">
        <v>19</v>
      </c>
      <c r="M17" s="1">
        <v>0.25</v>
      </c>
      <c r="N17" s="54">
        <v>-0.75</v>
      </c>
      <c r="O17" s="2">
        <f t="shared" si="0"/>
        <v>-0.125</v>
      </c>
      <c r="P17" s="33">
        <v>1.476</v>
      </c>
      <c r="Q17" s="34">
        <v>0.23300000000000001</v>
      </c>
      <c r="R17" s="34">
        <v>0.122</v>
      </c>
      <c r="S17" s="35">
        <f>G17</f>
        <v>3.33</v>
      </c>
      <c r="T17" s="35">
        <f>H17</f>
        <v>27.07</v>
      </c>
      <c r="U17" s="35">
        <f>((1.3375-1)/F17*1000)</f>
        <v>8.9427662957074681</v>
      </c>
      <c r="V17" s="35">
        <v>0</v>
      </c>
      <c r="W17" s="35">
        <f t="shared" si="9"/>
        <v>5.55443</v>
      </c>
      <c r="X17" s="35">
        <f t="shared" si="1"/>
        <v>37.069066666666686</v>
      </c>
      <c r="Y17" s="35">
        <f t="shared" si="2"/>
        <v>0</v>
      </c>
      <c r="Z17" s="35">
        <f t="shared" si="3"/>
        <v>62.094566864833233</v>
      </c>
      <c r="AA17" s="35">
        <f t="shared" si="4"/>
        <v>43.822816640763918</v>
      </c>
      <c r="AB17" s="36">
        <f t="shared" si="5"/>
        <v>18.271750224069315</v>
      </c>
      <c r="AC17" s="34">
        <f t="shared" si="6"/>
        <v>1238744.7711199999</v>
      </c>
      <c r="AD17" s="34">
        <f t="shared" si="7"/>
        <v>33894.892177973103</v>
      </c>
      <c r="AE17" s="34">
        <f t="shared" si="8"/>
        <v>36.546650292193853</v>
      </c>
      <c r="AF17" s="37">
        <f t="shared" si="10"/>
        <v>-0.52571206154333017</v>
      </c>
      <c r="AG17" s="25">
        <f t="shared" si="11"/>
        <v>0.40071206154333017</v>
      </c>
      <c r="AH17" s="25">
        <f t="shared" si="12"/>
        <v>0.40071206154333017</v>
      </c>
    </row>
    <row r="18" spans="1:66" x14ac:dyDescent="0.2">
      <c r="A18" s="44" t="s">
        <v>83</v>
      </c>
      <c r="B18" s="65">
        <v>60</v>
      </c>
      <c r="C18" s="29" t="s">
        <v>27</v>
      </c>
      <c r="D18" s="49" t="s">
        <v>1</v>
      </c>
      <c r="E18" s="32">
        <v>36.85</v>
      </c>
      <c r="F18" s="32">
        <v>36.21</v>
      </c>
      <c r="G18" s="32">
        <v>3.71</v>
      </c>
      <c r="H18" s="32">
        <v>30.34</v>
      </c>
      <c r="I18" s="32">
        <v>4.07</v>
      </c>
      <c r="J18" s="46" t="s">
        <v>6</v>
      </c>
      <c r="K18" s="54">
        <v>119</v>
      </c>
      <c r="L18" s="27">
        <v>19.5</v>
      </c>
      <c r="M18" s="26">
        <v>-4.5</v>
      </c>
      <c r="N18" s="26">
        <v>-1</v>
      </c>
      <c r="O18" s="27">
        <f t="shared" si="0"/>
        <v>-5</v>
      </c>
      <c r="P18" s="33">
        <v>-0.76900000000000002</v>
      </c>
      <c r="Q18" s="34">
        <v>0.23400000000000001</v>
      </c>
      <c r="R18" s="34">
        <v>0.217</v>
      </c>
      <c r="S18" s="35">
        <f>G18</f>
        <v>3.71</v>
      </c>
      <c r="T18" s="35">
        <f>H18</f>
        <v>30.34</v>
      </c>
      <c r="U18" s="35">
        <f>((1.3375-1)/F18*1000)</f>
        <v>9.3206296603148271</v>
      </c>
      <c r="V18" s="35">
        <v>0</v>
      </c>
      <c r="W18" s="35">
        <f t="shared" si="9"/>
        <v>6.6829200000000002</v>
      </c>
      <c r="X18" s="35">
        <f t="shared" si="1"/>
        <v>35.566266666666678</v>
      </c>
      <c r="Y18" s="35">
        <f t="shared" si="2"/>
        <v>0</v>
      </c>
      <c r="Z18" s="35">
        <f t="shared" si="3"/>
        <v>56.473580002265706</v>
      </c>
      <c r="AA18" s="35">
        <f t="shared" si="4"/>
        <v>43.263178417042262</v>
      </c>
      <c r="AB18" s="36">
        <f t="shared" si="5"/>
        <v>13.210401585223444</v>
      </c>
      <c r="AC18" s="34">
        <f t="shared" si="6"/>
        <v>1168581.75184</v>
      </c>
      <c r="AD18" s="34">
        <f t="shared" si="7"/>
        <v>37451.321725064801</v>
      </c>
      <c r="AE18" s="34">
        <f t="shared" si="8"/>
        <v>31.202683857694424</v>
      </c>
      <c r="AF18" s="37">
        <f t="shared" si="10"/>
        <v>-4.6046986134964731</v>
      </c>
      <c r="AG18" s="25">
        <f t="shared" si="11"/>
        <v>-0.39530138650352686</v>
      </c>
      <c r="AH18" s="25">
        <f t="shared" si="12"/>
        <v>0.39530138650352686</v>
      </c>
    </row>
    <row r="19" spans="1:66" x14ac:dyDescent="0.2">
      <c r="A19" s="44" t="s">
        <v>84</v>
      </c>
      <c r="B19" s="65">
        <v>53</v>
      </c>
      <c r="C19" s="29" t="s">
        <v>28</v>
      </c>
      <c r="D19" s="49" t="s">
        <v>0</v>
      </c>
      <c r="E19" s="32">
        <v>35.96</v>
      </c>
      <c r="F19" s="32">
        <v>35.46</v>
      </c>
      <c r="G19" s="32">
        <v>3.58</v>
      </c>
      <c r="H19" s="32">
        <v>29.19</v>
      </c>
      <c r="I19" s="32">
        <v>3.67</v>
      </c>
      <c r="J19" s="46" t="s">
        <v>35</v>
      </c>
      <c r="K19" s="54">
        <v>119</v>
      </c>
      <c r="L19" s="2">
        <v>19</v>
      </c>
      <c r="M19" s="54">
        <v>-1.75</v>
      </c>
      <c r="N19" s="54">
        <v>0</v>
      </c>
      <c r="O19" s="2">
        <f t="shared" si="0"/>
        <v>-1.75</v>
      </c>
      <c r="P19" s="33">
        <v>-0.76900000000000002</v>
      </c>
      <c r="Q19" s="34">
        <v>0.23400000000000001</v>
      </c>
      <c r="R19" s="34">
        <v>0.217</v>
      </c>
      <c r="S19" s="35">
        <f>G19</f>
        <v>3.58</v>
      </c>
      <c r="T19" s="35">
        <f>H19</f>
        <v>29.19</v>
      </c>
      <c r="U19" s="35">
        <f>((1.3375-1)/F19*1000)</f>
        <v>9.5177664974619258</v>
      </c>
      <c r="V19" s="35">
        <v>0</v>
      </c>
      <c r="W19" s="35">
        <f t="shared" si="9"/>
        <v>6.4029499999999997</v>
      </c>
      <c r="X19" s="35">
        <f t="shared" si="1"/>
        <v>34.829600000000013</v>
      </c>
      <c r="Y19" s="35">
        <f t="shared" si="2"/>
        <v>0</v>
      </c>
      <c r="Z19" s="35">
        <f t="shared" si="3"/>
        <v>58.629791921288621</v>
      </c>
      <c r="AA19" s="35">
        <f t="shared" si="4"/>
        <v>41.808495178355329</v>
      </c>
      <c r="AB19" s="36">
        <f t="shared" si="5"/>
        <v>16.821296742933292</v>
      </c>
      <c r="AC19" s="34">
        <f t="shared" si="6"/>
        <v>1206469.5227999999</v>
      </c>
      <c r="AD19" s="34">
        <f t="shared" si="7"/>
        <v>36225.657505847499</v>
      </c>
      <c r="AE19" s="34">
        <f t="shared" si="8"/>
        <v>33.304282264725025</v>
      </c>
      <c r="AF19" s="37">
        <f t="shared" si="10"/>
        <v>-1.5537574202683946</v>
      </c>
      <c r="AG19" s="25">
        <f t="shared" si="11"/>
        <v>-0.19624257973160542</v>
      </c>
      <c r="AH19" s="25">
        <f t="shared" si="12"/>
        <v>0.19624257973160542</v>
      </c>
    </row>
    <row r="20" spans="1:66" ht="19" customHeight="1" x14ac:dyDescent="0.2">
      <c r="A20" s="44" t="s">
        <v>85</v>
      </c>
      <c r="B20" s="65">
        <v>65</v>
      </c>
      <c r="C20" s="29" t="s">
        <v>27</v>
      </c>
      <c r="D20" s="49" t="s">
        <v>0</v>
      </c>
      <c r="E20" s="32">
        <v>37.380000000000003</v>
      </c>
      <c r="F20" s="32">
        <v>37.15</v>
      </c>
      <c r="G20" s="32">
        <v>3.11</v>
      </c>
      <c r="H20" s="32">
        <v>27.13</v>
      </c>
      <c r="I20" s="32">
        <v>4.72</v>
      </c>
      <c r="J20" s="46" t="s">
        <v>6</v>
      </c>
      <c r="K20" s="54">
        <v>119</v>
      </c>
      <c r="L20" s="2">
        <v>19</v>
      </c>
      <c r="M20" s="54">
        <v>-0.25</v>
      </c>
      <c r="N20" s="54">
        <v>0</v>
      </c>
      <c r="O20" s="2">
        <f t="shared" si="0"/>
        <v>-0.25</v>
      </c>
      <c r="P20" s="33">
        <v>-0.76900000000000002</v>
      </c>
      <c r="Q20" s="34">
        <v>0.23400000000000001</v>
      </c>
      <c r="R20" s="34">
        <v>0.217</v>
      </c>
      <c r="S20" s="35">
        <f>G20</f>
        <v>3.11</v>
      </c>
      <c r="T20" s="35">
        <f>H20</f>
        <v>27.13</v>
      </c>
      <c r="U20" s="35">
        <f>((1.3375-1)/F20*1000)</f>
        <v>9.0847913862718688</v>
      </c>
      <c r="V20" s="35">
        <v>0</v>
      </c>
      <c r="W20" s="35">
        <f t="shared" si="9"/>
        <v>5.8459499999999993</v>
      </c>
      <c r="X20" s="35">
        <f t="shared" si="1"/>
        <v>36.489555555555562</v>
      </c>
      <c r="Y20" s="35">
        <f t="shared" si="2"/>
        <v>0</v>
      </c>
      <c r="Z20" s="35">
        <f t="shared" si="3"/>
        <v>62.770008527512381</v>
      </c>
      <c r="AA20" s="35">
        <f t="shared" si="4"/>
        <v>43.422771960510154</v>
      </c>
      <c r="AB20" s="36">
        <f t="shared" si="5"/>
        <v>19.347236567002227</v>
      </c>
      <c r="AC20" s="34">
        <f t="shared" si="6"/>
        <v>1244621.6747999999</v>
      </c>
      <c r="AD20" s="34">
        <f t="shared" si="7"/>
        <v>33881.595650147501</v>
      </c>
      <c r="AE20" s="34">
        <f t="shared" si="8"/>
        <v>36.734446855798588</v>
      </c>
      <c r="AF20" s="37">
        <f t="shared" si="10"/>
        <v>0.24417374792365515</v>
      </c>
      <c r="AG20" s="25">
        <f t="shared" si="11"/>
        <v>-0.49417374792365515</v>
      </c>
      <c r="AH20" s="25">
        <f t="shared" si="12"/>
        <v>0.49417374792365515</v>
      </c>
    </row>
    <row r="21" spans="1:66" ht="19" customHeight="1" x14ac:dyDescent="0.2">
      <c r="A21" s="44" t="s">
        <v>86</v>
      </c>
      <c r="B21" s="65">
        <v>46</v>
      </c>
      <c r="C21" s="29" t="s">
        <v>27</v>
      </c>
      <c r="D21" s="49" t="s">
        <v>1</v>
      </c>
      <c r="E21" s="32">
        <v>39.01</v>
      </c>
      <c r="F21" s="32">
        <v>38.5</v>
      </c>
      <c r="G21" s="32">
        <v>3.51</v>
      </c>
      <c r="H21" s="32">
        <v>28.83</v>
      </c>
      <c r="I21" s="32">
        <v>4.2300000000000004</v>
      </c>
      <c r="J21" s="46" t="s">
        <v>6</v>
      </c>
      <c r="K21" s="54">
        <v>119</v>
      </c>
      <c r="L21" s="2">
        <v>13.5</v>
      </c>
      <c r="M21" s="54">
        <v>0</v>
      </c>
      <c r="N21" s="54">
        <v>0</v>
      </c>
      <c r="O21" s="2">
        <f t="shared" si="0"/>
        <v>0</v>
      </c>
      <c r="P21" s="33">
        <v>-0.76900000000000002</v>
      </c>
      <c r="Q21" s="34">
        <v>0.23400000000000001</v>
      </c>
      <c r="R21" s="34">
        <v>0.217</v>
      </c>
      <c r="S21" s="35">
        <f>G21</f>
        <v>3.51</v>
      </c>
      <c r="T21" s="35">
        <f>H21</f>
        <v>28.83</v>
      </c>
      <c r="U21" s="35">
        <f>((1.3375-1)/F21*1000)</f>
        <v>8.7662337662337642</v>
      </c>
      <c r="V21" s="35">
        <v>0</v>
      </c>
      <c r="W21" s="35">
        <f t="shared" si="9"/>
        <v>6.3084499999999997</v>
      </c>
      <c r="X21" s="35">
        <f t="shared" si="1"/>
        <v>37.815555555555562</v>
      </c>
      <c r="Y21" s="35">
        <f t="shared" si="2"/>
        <v>0</v>
      </c>
      <c r="Z21" s="35">
        <f t="shared" si="3"/>
        <v>59.320961479116676</v>
      </c>
      <c r="AA21" s="35">
        <f t="shared" si="4"/>
        <v>46.035745954934448</v>
      </c>
      <c r="AB21" s="36">
        <f t="shared" si="5"/>
        <v>13.285215524182227</v>
      </c>
      <c r="AC21" s="34">
        <f t="shared" si="6"/>
        <v>1378697.3241999999</v>
      </c>
      <c r="AD21" s="34">
        <f t="shared" si="7"/>
        <v>36598.853026683748</v>
      </c>
      <c r="AE21" s="34">
        <f t="shared" si="8"/>
        <v>37.670506318731071</v>
      </c>
      <c r="AF21" s="37">
        <f t="shared" si="10"/>
        <v>-0.14530214841332664</v>
      </c>
      <c r="AG21" s="25">
        <f t="shared" si="11"/>
        <v>0.14530214841332664</v>
      </c>
      <c r="AH21" s="25">
        <f t="shared" si="12"/>
        <v>0.14530214841332664</v>
      </c>
    </row>
    <row r="22" spans="1:66" x14ac:dyDescent="0.2">
      <c r="A22" s="44" t="s">
        <v>87</v>
      </c>
      <c r="B22" s="65">
        <v>56</v>
      </c>
      <c r="C22" s="29" t="s">
        <v>28</v>
      </c>
      <c r="D22" s="49" t="s">
        <v>1</v>
      </c>
      <c r="E22" s="32">
        <v>36.26</v>
      </c>
      <c r="F22" s="32">
        <v>35.42</v>
      </c>
      <c r="G22" s="32">
        <v>3.01</v>
      </c>
      <c r="H22" s="32">
        <v>27.8</v>
      </c>
      <c r="I22" s="32">
        <v>4.88</v>
      </c>
      <c r="J22" s="46" t="s">
        <v>6</v>
      </c>
      <c r="K22" s="54">
        <v>119</v>
      </c>
      <c r="L22" s="54">
        <v>20</v>
      </c>
      <c r="M22" s="1">
        <v>0</v>
      </c>
      <c r="N22" s="54">
        <v>-1</v>
      </c>
      <c r="O22" s="54">
        <f t="shared" si="0"/>
        <v>-0.5</v>
      </c>
      <c r="P22" s="33">
        <v>-0.76900000000000002</v>
      </c>
      <c r="Q22" s="34">
        <v>0.23400000000000001</v>
      </c>
      <c r="R22" s="34">
        <v>0.217</v>
      </c>
      <c r="S22" s="35">
        <f>G22</f>
        <v>3.01</v>
      </c>
      <c r="T22" s="35">
        <f>H22</f>
        <v>27.8</v>
      </c>
      <c r="U22" s="35">
        <f>((1.3375-1)/F22*1000)</f>
        <v>9.5285149632975692</v>
      </c>
      <c r="V22" s="35">
        <v>0</v>
      </c>
      <c r="W22" s="35">
        <f t="shared" si="9"/>
        <v>5.9679400000000005</v>
      </c>
      <c r="X22" s="35">
        <f t="shared" si="1"/>
        <v>34.790311111111123</v>
      </c>
      <c r="Y22" s="35">
        <f t="shared" si="2"/>
        <v>0</v>
      </c>
      <c r="Z22" s="35">
        <f t="shared" si="3"/>
        <v>61.194408589936089</v>
      </c>
      <c r="AA22" s="35">
        <f t="shared" si="4"/>
        <v>41.191906051834643</v>
      </c>
      <c r="AB22" s="36">
        <f t="shared" si="5"/>
        <v>20.002502538101446</v>
      </c>
      <c r="AC22" s="34">
        <f t="shared" si="6"/>
        <v>1201543.3568</v>
      </c>
      <c r="AD22" s="34">
        <f t="shared" si="7"/>
        <v>34534.951516871995</v>
      </c>
      <c r="AE22" s="34">
        <f t="shared" si="8"/>
        <v>34.79209623945723</v>
      </c>
      <c r="AF22" s="37">
        <f t="shared" si="10"/>
        <v>1.7850901067276027E-3</v>
      </c>
      <c r="AG22" s="25">
        <f t="shared" si="11"/>
        <v>-0.50178509010672756</v>
      </c>
      <c r="AH22" s="25">
        <f t="shared" si="12"/>
        <v>0.50178509010672756</v>
      </c>
    </row>
    <row r="23" spans="1:66" x14ac:dyDescent="0.2">
      <c r="A23" s="44" t="s">
        <v>88</v>
      </c>
      <c r="B23" s="65">
        <v>55</v>
      </c>
      <c r="C23" s="29" t="s">
        <v>28</v>
      </c>
      <c r="D23" s="49" t="s">
        <v>1</v>
      </c>
      <c r="E23" s="32">
        <v>39.69</v>
      </c>
      <c r="F23" s="32">
        <v>39.21</v>
      </c>
      <c r="G23" s="32">
        <v>3.09</v>
      </c>
      <c r="H23" s="32">
        <v>26.14</v>
      </c>
      <c r="I23" s="32">
        <v>4.54</v>
      </c>
      <c r="J23" s="46" t="s">
        <v>6</v>
      </c>
      <c r="K23" s="54">
        <v>119</v>
      </c>
      <c r="L23" s="54">
        <v>19.5</v>
      </c>
      <c r="M23" s="1">
        <v>0</v>
      </c>
      <c r="N23" s="54">
        <v>0</v>
      </c>
      <c r="O23" s="54">
        <f t="shared" si="0"/>
        <v>0</v>
      </c>
      <c r="P23" s="33">
        <v>-0.76900000000000002</v>
      </c>
      <c r="Q23" s="34">
        <v>0.23400000000000001</v>
      </c>
      <c r="R23" s="34">
        <v>0.217</v>
      </c>
      <c r="S23" s="35">
        <f>G23</f>
        <v>3.09</v>
      </c>
      <c r="T23" s="35">
        <f>H23</f>
        <v>26.14</v>
      </c>
      <c r="U23" s="35">
        <f>((1.3375-1)/F23*1000)</f>
        <v>8.6074980872226465</v>
      </c>
      <c r="V23" s="35">
        <v>0</v>
      </c>
      <c r="W23" s="35">
        <f t="shared" si="9"/>
        <v>5.6264400000000006</v>
      </c>
      <c r="X23" s="35">
        <f t="shared" si="1"/>
        <v>38.512933333333336</v>
      </c>
      <c r="Y23" s="35">
        <f t="shared" si="2"/>
        <v>0</v>
      </c>
      <c r="Z23" s="35">
        <f t="shared" si="3"/>
        <v>65.127652148140072</v>
      </c>
      <c r="AA23" s="35">
        <f t="shared" si="4"/>
        <v>45.968776753456865</v>
      </c>
      <c r="AB23" s="36">
        <f t="shared" si="5"/>
        <v>19.158875394683207</v>
      </c>
      <c r="AC23" s="34">
        <f t="shared" si="6"/>
        <v>1250476.7348800001</v>
      </c>
      <c r="AD23" s="34">
        <f t="shared" si="7"/>
        <v>32672.382866735199</v>
      </c>
      <c r="AE23" s="34">
        <f t="shared" si="8"/>
        <v>38.273202783539567</v>
      </c>
      <c r="AF23" s="37">
        <f t="shared" si="10"/>
        <v>-0.24042218831441622</v>
      </c>
      <c r="AG23" s="25">
        <f t="shared" si="11"/>
        <v>0.24042218831441622</v>
      </c>
      <c r="AH23" s="25">
        <f t="shared" si="12"/>
        <v>0.24042218831441622</v>
      </c>
    </row>
    <row r="24" spans="1:66" x14ac:dyDescent="0.2">
      <c r="A24" s="44" t="s">
        <v>89</v>
      </c>
      <c r="B24" s="65">
        <v>70</v>
      </c>
      <c r="C24" s="29" t="s">
        <v>28</v>
      </c>
      <c r="D24" s="49" t="s">
        <v>0</v>
      </c>
      <c r="E24" s="32">
        <v>39.82</v>
      </c>
      <c r="F24" s="32">
        <v>39.69</v>
      </c>
      <c r="G24" s="32">
        <v>3.62</v>
      </c>
      <c r="H24" s="32">
        <v>26.99</v>
      </c>
      <c r="I24" s="32">
        <v>4.3899999999999997</v>
      </c>
      <c r="J24" s="46" t="s">
        <v>6</v>
      </c>
      <c r="K24" s="54">
        <v>119</v>
      </c>
      <c r="L24" s="54">
        <v>16.5</v>
      </c>
      <c r="M24" s="1">
        <v>0</v>
      </c>
      <c r="N24" s="54">
        <v>-0.5</v>
      </c>
      <c r="O24" s="54">
        <f t="shared" si="0"/>
        <v>-0.25</v>
      </c>
      <c r="P24" s="33">
        <v>-0.76900000000000002</v>
      </c>
      <c r="Q24" s="34">
        <v>0.23400000000000001</v>
      </c>
      <c r="R24" s="34">
        <v>0.217</v>
      </c>
      <c r="S24" s="35">
        <f>G24</f>
        <v>3.62</v>
      </c>
      <c r="T24" s="35">
        <f>H24</f>
        <v>26.99</v>
      </c>
      <c r="U24" s="35">
        <f>((1.3375-1)/F24*1000)</f>
        <v>8.5034013605442169</v>
      </c>
      <c r="V24" s="35">
        <v>0</v>
      </c>
      <c r="W24" s="35">
        <f t="shared" si="9"/>
        <v>5.9349099999999995</v>
      </c>
      <c r="X24" s="35">
        <f t="shared" si="1"/>
        <v>38.984400000000001</v>
      </c>
      <c r="Y24" s="35">
        <f t="shared" si="2"/>
        <v>0</v>
      </c>
      <c r="Z24" s="35">
        <f t="shared" si="3"/>
        <v>63.452590323764944</v>
      </c>
      <c r="AA24" s="35">
        <f t="shared" si="4"/>
        <v>47.149821016987147</v>
      </c>
      <c r="AB24" s="36">
        <f t="shared" si="5"/>
        <v>16.302769306777797</v>
      </c>
      <c r="AC24" s="34">
        <f t="shared" si="6"/>
        <v>1320757.59604</v>
      </c>
      <c r="AD24" s="34">
        <f t="shared" si="7"/>
        <v>33996.798940833651</v>
      </c>
      <c r="AE24" s="34">
        <f t="shared" si="8"/>
        <v>38.84946927911011</v>
      </c>
      <c r="AF24" s="37">
        <f t="shared" si="10"/>
        <v>-0.13514955080570856</v>
      </c>
      <c r="AG24" s="25">
        <f t="shared" si="11"/>
        <v>-0.11485044919429144</v>
      </c>
      <c r="AH24" s="25">
        <f t="shared" si="12"/>
        <v>0.11485044919429144</v>
      </c>
    </row>
    <row r="25" spans="1:66" x14ac:dyDescent="0.2">
      <c r="A25" s="44" t="s">
        <v>90</v>
      </c>
      <c r="B25" s="65">
        <v>55</v>
      </c>
      <c r="C25" s="29" t="s">
        <v>27</v>
      </c>
      <c r="D25" s="49" t="s">
        <v>1</v>
      </c>
      <c r="E25" s="32">
        <v>41.01</v>
      </c>
      <c r="F25" s="32">
        <v>41.01</v>
      </c>
      <c r="G25" s="32">
        <v>3.86</v>
      </c>
      <c r="H25" s="32">
        <v>24.74</v>
      </c>
      <c r="I25" s="32">
        <v>3.37</v>
      </c>
      <c r="J25" s="46" t="s">
        <v>57</v>
      </c>
      <c r="K25" s="54">
        <v>119.1</v>
      </c>
      <c r="L25" s="54">
        <v>21.5</v>
      </c>
      <c r="M25" s="1">
        <v>0</v>
      </c>
      <c r="N25" s="54">
        <v>0</v>
      </c>
      <c r="O25" s="54">
        <f t="shared" si="0"/>
        <v>0</v>
      </c>
      <c r="P25" s="33">
        <v>1.476</v>
      </c>
      <c r="Q25" s="34">
        <v>0.23300000000000001</v>
      </c>
      <c r="R25" s="34">
        <v>0.122</v>
      </c>
      <c r="S25" s="35">
        <f>G25</f>
        <v>3.86</v>
      </c>
      <c r="T25" s="35">
        <f>H25</f>
        <v>24.74</v>
      </c>
      <c r="U25" s="35">
        <f>((1.3375-1)/F25*1000)</f>
        <v>8.2297000731528875</v>
      </c>
      <c r="V25" s="35">
        <v>0</v>
      </c>
      <c r="W25" s="35">
        <f t="shared" si="9"/>
        <v>5.3936599999999997</v>
      </c>
      <c r="X25" s="35">
        <f t="shared" si="1"/>
        <v>40.280933333333344</v>
      </c>
      <c r="Y25" s="35">
        <f t="shared" si="2"/>
        <v>0</v>
      </c>
      <c r="Z25" s="35">
        <f t="shared" si="3"/>
        <v>69.056989590795993</v>
      </c>
      <c r="AA25" s="35">
        <f t="shared" si="4"/>
        <v>48.103586831202733</v>
      </c>
      <c r="AB25" s="36">
        <f t="shared" si="5"/>
        <v>20.95340275959326</v>
      </c>
      <c r="AC25" s="34">
        <f t="shared" si="6"/>
        <v>1229191.7298400002</v>
      </c>
      <c r="AD25" s="34">
        <f t="shared" si="7"/>
        <v>30809.167025605399</v>
      </c>
      <c r="AE25" s="34">
        <f t="shared" si="8"/>
        <v>39.896947840830066</v>
      </c>
      <c r="AF25" s="37">
        <f t="shared" si="10"/>
        <v>-0.38576302134818141</v>
      </c>
      <c r="AG25" s="25">
        <f t="shared" si="11"/>
        <v>0.38576302134818141</v>
      </c>
      <c r="AH25" s="25">
        <f t="shared" si="12"/>
        <v>0.38576302134818141</v>
      </c>
    </row>
    <row r="26" spans="1:66" s="43" customFormat="1" x14ac:dyDescent="0.2">
      <c r="A26" s="44" t="s">
        <v>91</v>
      </c>
      <c r="B26" s="65">
        <v>56</v>
      </c>
      <c r="C26" s="29" t="s">
        <v>27</v>
      </c>
      <c r="D26" s="49" t="s">
        <v>0</v>
      </c>
      <c r="E26" s="32">
        <v>39.369999999999997</v>
      </c>
      <c r="F26" s="32">
        <v>38.950000000000003</v>
      </c>
      <c r="G26" s="32">
        <v>3.57</v>
      </c>
      <c r="H26" s="32">
        <v>27.08</v>
      </c>
      <c r="I26" s="32">
        <v>4.05</v>
      </c>
      <c r="J26" s="46" t="s">
        <v>40</v>
      </c>
      <c r="K26" s="54">
        <v>119.2</v>
      </c>
      <c r="L26" s="54">
        <v>17.5</v>
      </c>
      <c r="M26" s="1">
        <v>0</v>
      </c>
      <c r="N26" s="54">
        <v>0.25</v>
      </c>
      <c r="O26" s="54">
        <f t="shared" si="0"/>
        <v>0.125</v>
      </c>
      <c r="P26" s="33">
        <v>-0.32300000000000001</v>
      </c>
      <c r="Q26" s="34">
        <v>0.21299999999999999</v>
      </c>
      <c r="R26" s="34">
        <v>0.20799999999999999</v>
      </c>
      <c r="S26" s="35">
        <f>G26</f>
        <v>3.57</v>
      </c>
      <c r="T26" s="35">
        <f>H26</f>
        <v>27.08</v>
      </c>
      <c r="U26" s="35">
        <f>((1.3375-1)/F26*1000)</f>
        <v>8.6649550706033338</v>
      </c>
      <c r="V26" s="35">
        <v>0</v>
      </c>
      <c r="W26" s="35">
        <f t="shared" si="9"/>
        <v>6.0700499999999993</v>
      </c>
      <c r="X26" s="35">
        <f t="shared" si="1"/>
        <v>38.25755555555557</v>
      </c>
      <c r="Y26" s="35">
        <f t="shared" si="2"/>
        <v>0</v>
      </c>
      <c r="Z26" s="35">
        <f t="shared" si="3"/>
        <v>63.588918583813857</v>
      </c>
      <c r="AA26" s="35">
        <f t="shared" si="4"/>
        <v>46.306635828115112</v>
      </c>
      <c r="AB26" s="36">
        <f t="shared" si="5"/>
        <v>17.282282755698745</v>
      </c>
      <c r="AC26" s="34">
        <f t="shared" si="6"/>
        <v>1293683.3689999999</v>
      </c>
      <c r="AD26" s="34">
        <f t="shared" si="7"/>
        <v>33947.079677543748</v>
      </c>
      <c r="AE26" s="34">
        <f t="shared" si="8"/>
        <v>38.108826481936866</v>
      </c>
      <c r="AF26" s="37">
        <f t="shared" si="10"/>
        <v>-0.14899499226478385</v>
      </c>
      <c r="AG26" s="25">
        <f t="shared" si="11"/>
        <v>0.27399499226478385</v>
      </c>
      <c r="AH26" s="25">
        <f t="shared" si="12"/>
        <v>0.27399499226478385</v>
      </c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</row>
    <row r="27" spans="1:66" x14ac:dyDescent="0.2">
      <c r="A27" s="44" t="s">
        <v>92</v>
      </c>
      <c r="B27" s="65">
        <v>52</v>
      </c>
      <c r="C27" s="29" t="s">
        <v>28</v>
      </c>
      <c r="D27" s="49" t="s">
        <v>0</v>
      </c>
      <c r="E27" s="32">
        <v>40.450000000000003</v>
      </c>
      <c r="F27" s="32">
        <v>40.229999999999997</v>
      </c>
      <c r="G27" s="32">
        <v>3.24</v>
      </c>
      <c r="H27" s="32">
        <v>26.25</v>
      </c>
      <c r="I27" s="32">
        <v>3.95</v>
      </c>
      <c r="J27" s="52" t="s">
        <v>59</v>
      </c>
      <c r="K27" s="54">
        <v>119.3</v>
      </c>
      <c r="L27" s="54">
        <v>17.5</v>
      </c>
      <c r="M27" s="1">
        <v>0</v>
      </c>
      <c r="N27" s="54">
        <v>0</v>
      </c>
      <c r="O27" s="54">
        <f t="shared" si="0"/>
        <v>0</v>
      </c>
      <c r="P27" s="33">
        <v>-1.302</v>
      </c>
      <c r="Q27" s="34">
        <v>0.21</v>
      </c>
      <c r="R27" s="34">
        <v>0.251</v>
      </c>
      <c r="S27" s="35">
        <f>G27</f>
        <v>3.24</v>
      </c>
      <c r="T27" s="35">
        <f>H27</f>
        <v>26.25</v>
      </c>
      <c r="U27" s="35">
        <f>((1.3375-1)/F27*1000)</f>
        <v>8.3892617449664417</v>
      </c>
      <c r="V27" s="35">
        <v>0</v>
      </c>
      <c r="W27" s="35">
        <f t="shared" si="9"/>
        <v>5.9671500000000002</v>
      </c>
      <c r="X27" s="35">
        <f t="shared" si="1"/>
        <v>39.514800000000008</v>
      </c>
      <c r="Y27" s="35">
        <f t="shared" si="2"/>
        <v>0</v>
      </c>
      <c r="Z27" s="35">
        <f t="shared" si="3"/>
        <v>65.868455369930757</v>
      </c>
      <c r="AA27" s="35">
        <f t="shared" si="4"/>
        <v>47.983392489697465</v>
      </c>
      <c r="AB27" s="36">
        <f t="shared" si="5"/>
        <v>17.885062880233292</v>
      </c>
      <c r="AC27" s="34">
        <f t="shared" si="6"/>
        <v>1310682.9669999999</v>
      </c>
      <c r="AD27" s="34">
        <f t="shared" si="7"/>
        <v>32951.96085339375</v>
      </c>
      <c r="AE27" s="34">
        <f t="shared" si="8"/>
        <v>39.77556822282434</v>
      </c>
      <c r="AF27" s="37">
        <f t="shared" si="10"/>
        <v>0.25995476751146784</v>
      </c>
      <c r="AG27" s="25">
        <f t="shared" si="11"/>
        <v>-0.25995476751146784</v>
      </c>
      <c r="AH27" s="25">
        <f t="shared" si="12"/>
        <v>0.25995476751146784</v>
      </c>
    </row>
    <row r="28" spans="1:66" x14ac:dyDescent="0.2">
      <c r="A28" s="44" t="s">
        <v>93</v>
      </c>
      <c r="B28" s="65">
        <v>52</v>
      </c>
      <c r="C28" s="29" t="s">
        <v>28</v>
      </c>
      <c r="D28" s="49" t="s">
        <v>1</v>
      </c>
      <c r="E28" s="32">
        <v>40.450000000000003</v>
      </c>
      <c r="F28" s="32">
        <v>40.22</v>
      </c>
      <c r="G28" s="32">
        <v>4.09</v>
      </c>
      <c r="H28" s="32">
        <v>24.57</v>
      </c>
      <c r="I28" s="32">
        <v>3.83</v>
      </c>
      <c r="J28" s="46" t="s">
        <v>30</v>
      </c>
      <c r="K28" s="54">
        <v>119.2</v>
      </c>
      <c r="L28" s="2">
        <v>24</v>
      </c>
      <c r="M28" s="45">
        <v>0</v>
      </c>
      <c r="N28" s="54">
        <v>-0.5</v>
      </c>
      <c r="O28" s="54">
        <f t="shared" si="0"/>
        <v>-0.25</v>
      </c>
      <c r="P28" s="33">
        <v>1.024</v>
      </c>
      <c r="Q28" s="34">
        <v>0.21240000000000001</v>
      </c>
      <c r="R28" s="34">
        <v>0.151</v>
      </c>
      <c r="S28" s="35">
        <f>G28</f>
        <v>4.09</v>
      </c>
      <c r="T28" s="35">
        <f>H28</f>
        <v>24.57</v>
      </c>
      <c r="U28" s="35">
        <f>((1.3375-1)/F28*1000)</f>
        <v>8.3913475882645425</v>
      </c>
      <c r="V28" s="35">
        <v>0</v>
      </c>
      <c r="W28" s="35">
        <f t="shared" si="9"/>
        <v>5.602786</v>
      </c>
      <c r="X28" s="35">
        <f t="shared" si="1"/>
        <v>39.504977777777789</v>
      </c>
      <c r="Y28" s="35">
        <f t="shared" si="2"/>
        <v>0</v>
      </c>
      <c r="Z28" s="35">
        <f t="shared" si="3"/>
        <v>70.437334655474444</v>
      </c>
      <c r="AA28" s="35">
        <f t="shared" si="4"/>
        <v>47.349463156369225</v>
      </c>
      <c r="AB28" s="36">
        <f t="shared" si="5"/>
        <v>23.087871499105219</v>
      </c>
      <c r="AC28" s="34">
        <f t="shared" si="6"/>
        <v>1176731.250304</v>
      </c>
      <c r="AD28" s="34">
        <f t="shared" si="7"/>
        <v>30275.058214603101</v>
      </c>
      <c r="AE28" s="34">
        <f t="shared" si="8"/>
        <v>38.868009500190041</v>
      </c>
      <c r="AF28" s="37">
        <f t="shared" si="10"/>
        <v>-0.64187452209292772</v>
      </c>
      <c r="AG28" s="25">
        <f t="shared" si="11"/>
        <v>0.39187452209292772</v>
      </c>
      <c r="AH28" s="25">
        <f t="shared" si="12"/>
        <v>0.39187452209292772</v>
      </c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</row>
    <row r="29" spans="1:66" x14ac:dyDescent="0.2">
      <c r="A29" s="44" t="s">
        <v>94</v>
      </c>
      <c r="B29" s="65">
        <v>66</v>
      </c>
      <c r="C29" s="29" t="s">
        <v>27</v>
      </c>
      <c r="D29" s="49" t="s">
        <v>1</v>
      </c>
      <c r="E29" s="32">
        <v>40.69</v>
      </c>
      <c r="F29" s="32">
        <v>40.56</v>
      </c>
      <c r="G29" s="32">
        <v>3.5</v>
      </c>
      <c r="H29" s="32">
        <v>25.2</v>
      </c>
      <c r="I29" s="32">
        <v>4.4000000000000004</v>
      </c>
      <c r="J29" s="46" t="s">
        <v>6</v>
      </c>
      <c r="K29" s="54">
        <v>119</v>
      </c>
      <c r="L29" s="2">
        <v>20.5</v>
      </c>
      <c r="M29" s="54">
        <v>0</v>
      </c>
      <c r="N29" s="54">
        <v>0</v>
      </c>
      <c r="O29" s="54">
        <f t="shared" si="0"/>
        <v>0</v>
      </c>
      <c r="P29" s="33">
        <v>-0.76900000000000002</v>
      </c>
      <c r="Q29" s="34">
        <v>0.23400000000000001</v>
      </c>
      <c r="R29" s="34">
        <v>0.217</v>
      </c>
      <c r="S29" s="35">
        <f>G29</f>
        <v>3.5</v>
      </c>
      <c r="T29" s="35">
        <f>H29</f>
        <v>25.2</v>
      </c>
      <c r="U29" s="35">
        <f>((1.3375-1)/F29*1000)</f>
        <v>8.321005917159761</v>
      </c>
      <c r="V29" s="35">
        <v>0</v>
      </c>
      <c r="W29" s="35">
        <f t="shared" si="9"/>
        <v>5.5183999999999997</v>
      </c>
      <c r="X29" s="35">
        <f t="shared" si="1"/>
        <v>39.838933333333344</v>
      </c>
      <c r="Y29" s="35">
        <f t="shared" si="2"/>
        <v>0</v>
      </c>
      <c r="Z29" s="35">
        <f t="shared" si="3"/>
        <v>67.880660108934237</v>
      </c>
      <c r="AA29" s="35">
        <f t="shared" si="4"/>
        <v>47.685956160094563</v>
      </c>
      <c r="AB29" s="36">
        <f t="shared" si="5"/>
        <v>20.194703948839674</v>
      </c>
      <c r="AC29" s="34">
        <f t="shared" si="6"/>
        <v>1245856.3392</v>
      </c>
      <c r="AD29" s="34">
        <f t="shared" si="7"/>
        <v>31440.675700479998</v>
      </c>
      <c r="AE29" s="34">
        <f t="shared" si="8"/>
        <v>39.62562226933882</v>
      </c>
      <c r="AF29" s="37">
        <f t="shared" si="10"/>
        <v>-0.2138584845651666</v>
      </c>
      <c r="AG29" s="25">
        <f t="shared" si="11"/>
        <v>0.2138584845651666</v>
      </c>
      <c r="AH29" s="25">
        <f t="shared" si="12"/>
        <v>0.2138584845651666</v>
      </c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</row>
    <row r="30" spans="1:66" s="42" customFormat="1" x14ac:dyDescent="0.2">
      <c r="A30" s="44" t="s">
        <v>95</v>
      </c>
      <c r="B30" s="65">
        <v>62</v>
      </c>
      <c r="C30" s="29" t="s">
        <v>27</v>
      </c>
      <c r="D30" s="49" t="s">
        <v>0</v>
      </c>
      <c r="E30" s="32">
        <v>42.76</v>
      </c>
      <c r="F30" s="32">
        <v>42.56</v>
      </c>
      <c r="G30" s="32">
        <v>3.5</v>
      </c>
      <c r="H30" s="32">
        <v>24.59</v>
      </c>
      <c r="I30" s="32">
        <v>4.47</v>
      </c>
      <c r="J30" s="46" t="s">
        <v>58</v>
      </c>
      <c r="K30" s="54">
        <v>119.1</v>
      </c>
      <c r="L30" s="2">
        <v>19.5</v>
      </c>
      <c r="M30" s="54">
        <v>0</v>
      </c>
      <c r="N30" s="54">
        <v>0</v>
      </c>
      <c r="O30" s="54">
        <v>0</v>
      </c>
      <c r="P30" s="33">
        <v>1.476</v>
      </c>
      <c r="Q30" s="34">
        <v>0.23300000000000001</v>
      </c>
      <c r="R30" s="34">
        <v>0.122</v>
      </c>
      <c r="S30" s="35">
        <f>G30</f>
        <v>3.5</v>
      </c>
      <c r="T30" s="35">
        <f>H30</f>
        <v>24.59</v>
      </c>
      <c r="U30" s="35">
        <f>((1.3375-1)/F30*1000)</f>
        <v>7.9299812030075163</v>
      </c>
      <c r="V30" s="35">
        <v>0</v>
      </c>
      <c r="W30" s="35">
        <f t="shared" si="9"/>
        <v>5.29148</v>
      </c>
      <c r="X30" s="35">
        <f t="shared" si="1"/>
        <v>41.80337777777779</v>
      </c>
      <c r="Y30" s="35">
        <f t="shared" si="2"/>
        <v>0</v>
      </c>
      <c r="Z30" s="35">
        <f t="shared" si="3"/>
        <v>69.228106611284176</v>
      </c>
      <c r="AA30" s="35">
        <f t="shared" si="4"/>
        <v>50.098133973619618</v>
      </c>
      <c r="AB30" s="36">
        <f t="shared" si="5"/>
        <v>19.129972637664558</v>
      </c>
      <c r="AC30" s="34">
        <f t="shared" si="6"/>
        <v>1282130.9569600001</v>
      </c>
      <c r="AD30" s="34">
        <f t="shared" si="7"/>
        <v>30860.944214112802</v>
      </c>
      <c r="AE30" s="34">
        <f t="shared" si="8"/>
        <v>41.545422203047103</v>
      </c>
      <c r="AF30" s="37">
        <f t="shared" si="10"/>
        <v>-0.25875654705642215</v>
      </c>
      <c r="AG30" s="25">
        <f t="shared" si="11"/>
        <v>0.25875654705642215</v>
      </c>
      <c r="AH30" s="25">
        <f t="shared" si="12"/>
        <v>0.25875654705642215</v>
      </c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</row>
    <row r="31" spans="1:66" x14ac:dyDescent="0.2">
      <c r="A31" s="44" t="s">
        <v>96</v>
      </c>
      <c r="B31" s="64">
        <v>60</v>
      </c>
      <c r="C31" s="54" t="s">
        <v>27</v>
      </c>
      <c r="D31" s="49" t="s">
        <v>0</v>
      </c>
      <c r="E31" s="32">
        <v>38.89</v>
      </c>
      <c r="F31" s="32">
        <v>37.950000000000003</v>
      </c>
      <c r="G31" s="32">
        <v>3.44</v>
      </c>
      <c r="H31" s="32">
        <v>28.16</v>
      </c>
      <c r="I31" s="32">
        <v>4.32</v>
      </c>
      <c r="J31" s="54" t="s">
        <v>35</v>
      </c>
      <c r="K31" s="54">
        <v>119</v>
      </c>
      <c r="L31" s="2">
        <v>17</v>
      </c>
      <c r="M31" s="46">
        <v>-1</v>
      </c>
      <c r="N31" s="46">
        <v>0</v>
      </c>
      <c r="O31" s="47">
        <f t="shared" si="0"/>
        <v>-1</v>
      </c>
      <c r="P31" s="33">
        <v>-0.76900000000000002</v>
      </c>
      <c r="Q31" s="34">
        <v>0.23400000000000001</v>
      </c>
      <c r="R31" s="34">
        <v>0.217</v>
      </c>
      <c r="S31" s="35">
        <f>G31</f>
        <v>3.44</v>
      </c>
      <c r="T31" s="35">
        <f>H31</f>
        <v>28.16</v>
      </c>
      <c r="U31" s="35">
        <f>((1.3375-1)/F31*1000)</f>
        <v>8.8932806324110647</v>
      </c>
      <c r="V31" s="35">
        <v>0</v>
      </c>
      <c r="W31" s="35">
        <f t="shared" si="9"/>
        <v>6.1466799999999999</v>
      </c>
      <c r="X31" s="35">
        <f t="shared" si="1"/>
        <v>37.275333333333343</v>
      </c>
      <c r="Y31" s="35">
        <f t="shared" si="2"/>
        <v>0</v>
      </c>
      <c r="Z31" s="35">
        <f t="shared" si="3"/>
        <v>60.690527371609555</v>
      </c>
      <c r="AA31" s="35">
        <f t="shared" si="4"/>
        <v>44.991168783015013</v>
      </c>
      <c r="AB31" s="36">
        <f t="shared" si="5"/>
        <v>15.699358588594542</v>
      </c>
      <c r="AC31" s="34">
        <f t="shared" si="6"/>
        <v>1284929.4761600001</v>
      </c>
      <c r="AD31" s="34">
        <f t="shared" si="7"/>
        <v>35321.509825780799</v>
      </c>
      <c r="AE31" s="34">
        <f t="shared" si="8"/>
        <v>36.378101686416123</v>
      </c>
      <c r="AF31" s="37">
        <f t="shared" si="10"/>
        <v>-0.906997084774678</v>
      </c>
      <c r="AG31" s="25">
        <f t="shared" si="11"/>
        <v>-9.3002915225322003E-2</v>
      </c>
      <c r="AH31" s="25">
        <f t="shared" si="12"/>
        <v>9.3002915225322003E-2</v>
      </c>
    </row>
    <row r="32" spans="1:66" x14ac:dyDescent="0.2">
      <c r="A32" s="44" t="s">
        <v>97</v>
      </c>
      <c r="B32" s="65">
        <v>61</v>
      </c>
      <c r="C32" s="29" t="s">
        <v>27</v>
      </c>
      <c r="D32" s="49" t="s">
        <v>0</v>
      </c>
      <c r="E32" s="32">
        <v>39.950000000000003</v>
      </c>
      <c r="F32" s="32">
        <v>39.659999999999997</v>
      </c>
      <c r="G32" s="32">
        <v>3.5</v>
      </c>
      <c r="H32" s="32">
        <v>25.71</v>
      </c>
      <c r="I32" s="32">
        <v>4.4000000000000004</v>
      </c>
      <c r="J32" s="54" t="s">
        <v>35</v>
      </c>
      <c r="K32" s="54">
        <v>119</v>
      </c>
      <c r="L32" s="2">
        <v>20.5</v>
      </c>
      <c r="M32" s="46">
        <v>0</v>
      </c>
      <c r="N32" s="46">
        <v>-0.5</v>
      </c>
      <c r="O32" s="47">
        <f t="shared" si="0"/>
        <v>-0.25</v>
      </c>
      <c r="P32" s="33">
        <v>-0.76900000000000002</v>
      </c>
      <c r="Q32" s="34">
        <v>0.23400000000000001</v>
      </c>
      <c r="R32" s="34">
        <v>0.217</v>
      </c>
      <c r="S32" s="35">
        <f>G32</f>
        <v>3.5</v>
      </c>
      <c r="T32" s="35">
        <f>H32</f>
        <v>25.71</v>
      </c>
      <c r="U32" s="35">
        <f>((1.3375-1)/F32*1000)</f>
        <v>8.5098335854765494</v>
      </c>
      <c r="V32" s="35">
        <v>0</v>
      </c>
      <c r="W32" s="35">
        <f t="shared" si="9"/>
        <v>5.6290699999999996</v>
      </c>
      <c r="X32" s="35">
        <f t="shared" si="1"/>
        <v>38.954933333333337</v>
      </c>
      <c r="Y32" s="35">
        <f t="shared" si="2"/>
        <v>0</v>
      </c>
      <c r="Z32" s="35">
        <f t="shared" si="3"/>
        <v>66.530783185838501</v>
      </c>
      <c r="AA32" s="35">
        <f t="shared" si="4"/>
        <v>46.6041560141242</v>
      </c>
      <c r="AB32" s="36">
        <f t="shared" si="5"/>
        <v>19.926627171714301</v>
      </c>
      <c r="AC32" s="34">
        <f t="shared" si="6"/>
        <v>1234919.4891599999</v>
      </c>
      <c r="AD32" s="34">
        <f t="shared" si="7"/>
        <v>32031.302306980451</v>
      </c>
      <c r="AE32" s="34">
        <f t="shared" si="8"/>
        <v>38.55352109398558</v>
      </c>
      <c r="AF32" s="37">
        <f t="shared" si="10"/>
        <v>-0.40335517981956304</v>
      </c>
      <c r="AG32" s="25">
        <f t="shared" si="11"/>
        <v>0.15335517981956304</v>
      </c>
      <c r="AH32" s="25">
        <f t="shared" si="12"/>
        <v>0.15335517981956304</v>
      </c>
    </row>
    <row r="33" spans="1:39" x14ac:dyDescent="0.2">
      <c r="A33" s="44" t="s">
        <v>98</v>
      </c>
      <c r="B33" s="65">
        <v>60</v>
      </c>
      <c r="C33" s="29" t="s">
        <v>28</v>
      </c>
      <c r="D33" s="49" t="s">
        <v>1</v>
      </c>
      <c r="E33" s="32">
        <v>38.07</v>
      </c>
      <c r="F33" s="32">
        <v>37.56</v>
      </c>
      <c r="G33" s="32">
        <v>3.14</v>
      </c>
      <c r="H33" s="32">
        <v>28.75</v>
      </c>
      <c r="I33" s="32">
        <v>4.62</v>
      </c>
      <c r="J33" s="54" t="s">
        <v>35</v>
      </c>
      <c r="K33" s="54">
        <v>119</v>
      </c>
      <c r="L33" s="2">
        <v>17.5</v>
      </c>
      <c r="M33" s="46">
        <v>-2.5</v>
      </c>
      <c r="N33" s="46">
        <v>0</v>
      </c>
      <c r="O33" s="47">
        <f t="shared" si="0"/>
        <v>-2.5</v>
      </c>
      <c r="P33" s="33">
        <v>-0.76900000000000002</v>
      </c>
      <c r="Q33" s="34">
        <v>0.23400000000000001</v>
      </c>
      <c r="R33" s="34">
        <v>0.217</v>
      </c>
      <c r="S33" s="35">
        <f>G33</f>
        <v>3.14</v>
      </c>
      <c r="T33" s="35">
        <f>H33</f>
        <v>28.75</v>
      </c>
      <c r="U33" s="35">
        <f>((1.3375-1)/F33*1000)</f>
        <v>8.9856230031948847</v>
      </c>
      <c r="V33" s="35">
        <v>0</v>
      </c>
      <c r="W33" s="35">
        <f t="shared" si="9"/>
        <v>6.20451</v>
      </c>
      <c r="X33" s="35">
        <f t="shared" si="1"/>
        <v>36.892266666666679</v>
      </c>
      <c r="Y33" s="35">
        <f t="shared" si="2"/>
        <v>0</v>
      </c>
      <c r="Z33" s="35">
        <f t="shared" si="3"/>
        <v>59.257971328190244</v>
      </c>
      <c r="AA33" s="35">
        <f t="shared" si="4"/>
        <v>44.519915727883195</v>
      </c>
      <c r="AB33" s="36">
        <f t="shared" si="5"/>
        <v>14.73805560030705</v>
      </c>
      <c r="AC33" s="34">
        <f t="shared" si="6"/>
        <v>1257782.4438</v>
      </c>
      <c r="AD33" s="34">
        <f t="shared" si="7"/>
        <v>35962.03493220175</v>
      </c>
      <c r="AE33" s="34">
        <f t="shared" si="8"/>
        <v>34.975285635845225</v>
      </c>
      <c r="AF33" s="37">
        <f t="shared" si="10"/>
        <v>-1.962117126563929</v>
      </c>
      <c r="AG33" s="25">
        <f t="shared" si="11"/>
        <v>-0.537882873436071</v>
      </c>
      <c r="AH33" s="25">
        <f t="shared" si="12"/>
        <v>0.537882873436071</v>
      </c>
    </row>
    <row r="34" spans="1:39" s="51" customFormat="1" ht="15.75" customHeight="1" x14ac:dyDescent="0.2">
      <c r="A34" s="62" t="s">
        <v>99</v>
      </c>
      <c r="B34" s="64">
        <v>52</v>
      </c>
      <c r="C34" s="64" t="s">
        <v>27</v>
      </c>
      <c r="D34" s="61" t="s">
        <v>1</v>
      </c>
      <c r="E34" s="32">
        <v>36.979999999999997</v>
      </c>
      <c r="F34" s="32">
        <v>36.17</v>
      </c>
      <c r="G34" s="32">
        <v>3.64</v>
      </c>
      <c r="H34" s="32">
        <v>28.19</v>
      </c>
      <c r="I34" s="32">
        <v>4.1100000000000003</v>
      </c>
      <c r="J34" s="64" t="s">
        <v>60</v>
      </c>
      <c r="K34" s="64">
        <v>119.1</v>
      </c>
      <c r="L34" s="64">
        <v>19</v>
      </c>
      <c r="M34" s="74">
        <v>0</v>
      </c>
      <c r="N34" s="64">
        <v>0</v>
      </c>
      <c r="O34" s="64">
        <f t="shared" ref="O34:O39" si="13">M34+(N34/2)</f>
        <v>0</v>
      </c>
      <c r="P34" s="33">
        <v>-0.39900000000000002</v>
      </c>
      <c r="Q34" s="34">
        <v>0.20899999999999999</v>
      </c>
      <c r="R34" s="34">
        <v>0.21099999999999999</v>
      </c>
      <c r="S34" s="35">
        <f>G34</f>
        <v>3.64</v>
      </c>
      <c r="T34" s="35">
        <f>H34</f>
        <v>28.19</v>
      </c>
      <c r="U34" s="35">
        <f>((1.3375-1)/F34*1000)</f>
        <v>9.3309372408072946</v>
      </c>
      <c r="V34" s="35">
        <v>0</v>
      </c>
      <c r="W34" s="35">
        <f t="shared" ref="W34:W36" si="14">P34+Q34*S34+R34*T34</f>
        <v>6.30985</v>
      </c>
      <c r="X34" s="35">
        <f t="shared" ref="X34:X36" si="15">(1331.5-1000)/U34</f>
        <v>35.526977777777795</v>
      </c>
      <c r="Y34" s="35">
        <f t="shared" ref="Y34:Y36" si="16">V34/(1-12*0.001*V34)</f>
        <v>0</v>
      </c>
      <c r="Z34" s="35">
        <f t="shared" ref="Z34:Z36" si="17">1336/(T34-W34)</f>
        <v>61.059910466792957</v>
      </c>
      <c r="AA34" s="35">
        <f t="shared" ref="AA34:AA36" si="18">1336/((1336/(X34+Y34))-W34)</f>
        <v>42.690013827042712</v>
      </c>
      <c r="AB34" s="36">
        <f t="shared" ref="AB34:AB36" si="19">Z34-AA34</f>
        <v>18.369896639750245</v>
      </c>
      <c r="AC34" s="34">
        <f>1336*(1336-L34*(T34-W34))</f>
        <v>1229490.2723999999</v>
      </c>
      <c r="AD34" s="34">
        <f>1336*(T34-W34)+W34*(1336-L34*(T34-W34))</f>
        <v>35038.691174927502</v>
      </c>
      <c r="AE34" s="34">
        <f t="shared" ref="AE34:AE36" si="20">AC34/AD34</f>
        <v>35.08950337961771</v>
      </c>
      <c r="AF34" s="37">
        <f t="shared" ref="AF34:AF36" si="21">(AE34-X34)/(1+(AE34-X34)*(12*0.001))</f>
        <v>-0.4397831244523735</v>
      </c>
      <c r="AG34" s="66">
        <f>O34-AF34</f>
        <v>0.4397831244523735</v>
      </c>
      <c r="AH34" s="66">
        <f t="shared" ref="AH34:AH36" si="22">SQRT(AG34*AG34)</f>
        <v>0.4397831244523735</v>
      </c>
      <c r="AI34" s="67"/>
      <c r="AJ34" s="67"/>
      <c r="AK34" s="68"/>
      <c r="AL34" s="68"/>
      <c r="AM34" s="68"/>
    </row>
    <row r="35" spans="1:39" s="51" customFormat="1" x14ac:dyDescent="0.2">
      <c r="A35" s="62" t="s">
        <v>100</v>
      </c>
      <c r="B35" s="64">
        <v>72</v>
      </c>
      <c r="C35" s="64" t="s">
        <v>27</v>
      </c>
      <c r="D35" s="61" t="s">
        <v>0</v>
      </c>
      <c r="E35" s="32">
        <v>44.1</v>
      </c>
      <c r="F35" s="32">
        <v>44.34</v>
      </c>
      <c r="G35" s="32">
        <v>3.32</v>
      </c>
      <c r="H35" s="32">
        <v>23.85</v>
      </c>
      <c r="I35" s="32">
        <v>4.37</v>
      </c>
      <c r="J35" s="64" t="s">
        <v>30</v>
      </c>
      <c r="K35" s="64">
        <v>119.2</v>
      </c>
      <c r="L35" s="64">
        <v>19.5</v>
      </c>
      <c r="M35" s="74">
        <v>0</v>
      </c>
      <c r="N35" s="64">
        <v>-0.5</v>
      </c>
      <c r="O35" s="64">
        <f t="shared" si="13"/>
        <v>-0.25</v>
      </c>
      <c r="P35" s="33">
        <v>1.024</v>
      </c>
      <c r="Q35" s="34">
        <v>0.21240000000000001</v>
      </c>
      <c r="R35" s="34">
        <v>0.151</v>
      </c>
      <c r="S35" s="35">
        <f>G35</f>
        <v>3.32</v>
      </c>
      <c r="T35" s="35">
        <f>H35</f>
        <v>23.85</v>
      </c>
      <c r="U35" s="35">
        <f>((1.3375-1)/F35*1000)</f>
        <v>7.6116373477672505</v>
      </c>
      <c r="V35" s="35">
        <v>0</v>
      </c>
      <c r="W35" s="35">
        <f t="shared" si="14"/>
        <v>5.3305179999999996</v>
      </c>
      <c r="X35" s="35">
        <f t="shared" si="15"/>
        <v>43.551733333333345</v>
      </c>
      <c r="Y35" s="35">
        <f t="shared" si="16"/>
        <v>0</v>
      </c>
      <c r="Z35" s="35">
        <f t="shared" si="17"/>
        <v>72.140246687245337</v>
      </c>
      <c r="AA35" s="35">
        <f t="shared" si="18"/>
        <v>52.711228517870303</v>
      </c>
      <c r="AB35" s="36">
        <f t="shared" si="19"/>
        <v>19.429018169375034</v>
      </c>
      <c r="AC35" s="34">
        <f>1336*(1336-L35*(T35-W35))</f>
        <v>1302426.4549360001</v>
      </c>
      <c r="AD35" s="34">
        <f>1336*(T35-W35)+W35*(1336-L35*(T35-W35))</f>
        <v>29938.590573042322</v>
      </c>
      <c r="AE35" s="34">
        <f t="shared" si="20"/>
        <v>43.503265518075089</v>
      </c>
      <c r="AF35" s="37">
        <f t="shared" si="21"/>
        <v>-4.8496021212618777E-2</v>
      </c>
      <c r="AG35" s="66">
        <f>O35-AF35</f>
        <v>-0.20150397878738122</v>
      </c>
      <c r="AH35" s="66">
        <f t="shared" si="22"/>
        <v>0.20150397878738122</v>
      </c>
      <c r="AI35" s="67"/>
      <c r="AJ35" s="67"/>
      <c r="AK35" s="68"/>
      <c r="AL35" s="68"/>
      <c r="AM35" s="68"/>
    </row>
    <row r="36" spans="1:39" s="51" customFormat="1" ht="15.75" customHeight="1" x14ac:dyDescent="0.2">
      <c r="A36" s="62" t="s">
        <v>101</v>
      </c>
      <c r="B36" s="64">
        <v>65</v>
      </c>
      <c r="C36" s="64" t="s">
        <v>27</v>
      </c>
      <c r="D36" s="61" t="s">
        <v>0</v>
      </c>
      <c r="E36" s="32">
        <v>44.49</v>
      </c>
      <c r="F36" s="32">
        <v>44.48</v>
      </c>
      <c r="G36" s="32">
        <v>2.82</v>
      </c>
      <c r="H36" s="32">
        <v>22.11</v>
      </c>
      <c r="I36" s="32">
        <v>4.8</v>
      </c>
      <c r="J36" s="64" t="s">
        <v>7</v>
      </c>
      <c r="K36" s="64">
        <v>119.1</v>
      </c>
      <c r="L36" s="64">
        <v>25</v>
      </c>
      <c r="M36" s="74">
        <v>0</v>
      </c>
      <c r="N36" s="64">
        <v>0</v>
      </c>
      <c r="O36" s="64">
        <f t="shared" si="13"/>
        <v>0</v>
      </c>
      <c r="P36" s="33">
        <v>-3.5999999999999997E-2</v>
      </c>
      <c r="Q36" s="34">
        <v>0.31900000000000001</v>
      </c>
      <c r="R36" s="34">
        <v>0.17499999999999999</v>
      </c>
      <c r="S36" s="35">
        <f>G36</f>
        <v>2.82</v>
      </c>
      <c r="T36" s="35">
        <f>H36</f>
        <v>22.11</v>
      </c>
      <c r="U36" s="35">
        <f>((1.3375-1)/F36*1000)</f>
        <v>7.5876798561151064</v>
      </c>
      <c r="V36" s="35">
        <v>0</v>
      </c>
      <c r="W36" s="35">
        <f t="shared" si="14"/>
        <v>4.7328299999999999</v>
      </c>
      <c r="X36" s="35">
        <f t="shared" si="15"/>
        <v>43.689244444444455</v>
      </c>
      <c r="Y36" s="35">
        <f t="shared" si="16"/>
        <v>0</v>
      </c>
      <c r="Z36" s="35">
        <f t="shared" si="17"/>
        <v>76.882484317066584</v>
      </c>
      <c r="AA36" s="35">
        <f t="shared" si="18"/>
        <v>51.689226534832834</v>
      </c>
      <c r="AB36" s="36">
        <f t="shared" si="19"/>
        <v>25.193257782233751</v>
      </c>
      <c r="AC36" s="34">
        <f>1336*(1336-L36*(T36-W36))</f>
        <v>1204498.5220000001</v>
      </c>
      <c r="AD36" s="34">
        <f>1336*(T36-W36)+W36*(1336-L36*(T36-W36))</f>
        <v>27482.880212722499</v>
      </c>
      <c r="AE36" s="34">
        <f t="shared" si="20"/>
        <v>43.827230358570944</v>
      </c>
      <c r="AF36" s="37">
        <f t="shared" si="21"/>
        <v>0.13775781047760696</v>
      </c>
      <c r="AG36" s="66">
        <f>O36-AF36</f>
        <v>-0.13775781047760696</v>
      </c>
      <c r="AH36" s="66">
        <f t="shared" si="22"/>
        <v>0.13775781047760696</v>
      </c>
      <c r="AI36" s="67"/>
      <c r="AJ36" s="67"/>
      <c r="AK36" s="68"/>
      <c r="AL36" s="68"/>
      <c r="AM36" s="68"/>
    </row>
    <row r="37" spans="1:39" s="51" customFormat="1" ht="15.75" customHeight="1" x14ac:dyDescent="0.2">
      <c r="A37" s="62" t="s">
        <v>102</v>
      </c>
      <c r="B37" s="64">
        <v>62</v>
      </c>
      <c r="C37" s="64" t="s">
        <v>27</v>
      </c>
      <c r="D37" s="61" t="s">
        <v>0</v>
      </c>
      <c r="E37" s="32">
        <v>47.14</v>
      </c>
      <c r="F37" s="32">
        <v>47.63</v>
      </c>
      <c r="G37" s="32">
        <v>2.65</v>
      </c>
      <c r="H37" s="32">
        <v>21.98</v>
      </c>
      <c r="I37" s="32">
        <v>4.58</v>
      </c>
      <c r="J37" s="64" t="s">
        <v>40</v>
      </c>
      <c r="K37" s="64">
        <v>119.2</v>
      </c>
      <c r="L37" s="64">
        <v>22</v>
      </c>
      <c r="M37" s="74">
        <v>-0.75</v>
      </c>
      <c r="N37" s="64">
        <v>-0.5</v>
      </c>
      <c r="O37" s="64">
        <f t="shared" si="13"/>
        <v>-1</v>
      </c>
      <c r="P37" s="33">
        <v>1.024</v>
      </c>
      <c r="Q37" s="34">
        <v>0.21240000000000001</v>
      </c>
      <c r="R37" s="34">
        <v>0.151</v>
      </c>
      <c r="S37" s="35">
        <f>G37</f>
        <v>2.65</v>
      </c>
      <c r="T37" s="35">
        <f>H37</f>
        <v>21.98</v>
      </c>
      <c r="U37" s="35">
        <f>((1.3375-1)/F37*1000)</f>
        <v>7.0858702498425341</v>
      </c>
      <c r="V37" s="35">
        <v>0</v>
      </c>
      <c r="W37" s="35">
        <f t="shared" ref="W37:W53" si="23">P37+Q37*S37+R37*T37</f>
        <v>4.9058399999999995</v>
      </c>
      <c r="X37" s="35">
        <f t="shared" ref="X37:X53" si="24">(1331.5-1000)/U37</f>
        <v>46.783244444444456</v>
      </c>
      <c r="Y37" s="35">
        <f t="shared" ref="Y37:Y53" si="25">V37/(1-12*0.001*V37)</f>
        <v>0</v>
      </c>
      <c r="Z37" s="35">
        <f t="shared" ref="Z37:Z53" si="26">1336/(T37-W37)</f>
        <v>78.246894722785783</v>
      </c>
      <c r="AA37" s="35">
        <f t="shared" ref="AA37:AA53" si="27">1336/((1336/(X37+Y37))-W37)</f>
        <v>56.487159745936907</v>
      </c>
      <c r="AB37" s="36">
        <f t="shared" ref="AB37:AB53" si="28">Z37-AA37</f>
        <v>21.759734976848875</v>
      </c>
      <c r="AC37" s="34">
        <f t="shared" ref="AC37:AC48" si="29">1336*(1336-L37*(T37-W37))</f>
        <v>1283052.2892800001</v>
      </c>
      <c r="AD37" s="34">
        <f t="shared" ref="AD37:AD48" si="30">1336*(T37-W37)+W37*(1336-L37*(T37-W37))</f>
        <v>27522.491863923198</v>
      </c>
      <c r="AE37" s="34">
        <f t="shared" ref="AE37:AE53" si="31">AC37/AD37</f>
        <v>46.618318414759528</v>
      </c>
      <c r="AF37" s="37">
        <f t="shared" ref="AF37:AF53" si="32">(AE37-X37)/(1+(AE37-X37)*(12*0.001))</f>
        <v>-0.16525308410558445</v>
      </c>
      <c r="AG37" s="66">
        <f t="shared" ref="AG37:AG53" si="33">O37-AF37</f>
        <v>-0.83474691589441552</v>
      </c>
      <c r="AH37" s="66">
        <f t="shared" ref="AH37:AH53" si="34">SQRT(AG37*AG37)</f>
        <v>0.83474691589441552</v>
      </c>
      <c r="AI37" s="67"/>
      <c r="AJ37" s="69"/>
      <c r="AK37" s="68"/>
      <c r="AL37" s="68"/>
      <c r="AM37" s="68"/>
    </row>
    <row r="38" spans="1:39" s="51" customFormat="1" ht="15.75" customHeight="1" x14ac:dyDescent="0.2">
      <c r="A38" s="62" t="s">
        <v>103</v>
      </c>
      <c r="B38" s="64">
        <v>68</v>
      </c>
      <c r="C38" s="64" t="s">
        <v>27</v>
      </c>
      <c r="D38" s="61" t="s">
        <v>1</v>
      </c>
      <c r="E38" s="32">
        <v>49.55</v>
      </c>
      <c r="F38" s="32">
        <v>50.21</v>
      </c>
      <c r="G38" s="32">
        <v>3.01</v>
      </c>
      <c r="H38" s="32">
        <v>23.34</v>
      </c>
      <c r="I38" s="32">
        <v>4.3099999999999996</v>
      </c>
      <c r="J38" s="64" t="s">
        <v>10</v>
      </c>
      <c r="K38" s="64">
        <v>119.2</v>
      </c>
      <c r="L38" s="64">
        <v>14</v>
      </c>
      <c r="M38" s="74">
        <v>-0.25</v>
      </c>
      <c r="N38" s="64">
        <v>-0.5</v>
      </c>
      <c r="O38" s="64">
        <f t="shared" si="13"/>
        <v>-0.5</v>
      </c>
      <c r="P38" s="33">
        <v>1.024</v>
      </c>
      <c r="Q38" s="34">
        <v>0.21240000000000001</v>
      </c>
      <c r="R38" s="34">
        <v>0.151</v>
      </c>
      <c r="S38" s="35">
        <f>G38</f>
        <v>3.01</v>
      </c>
      <c r="T38" s="35">
        <f>H38</f>
        <v>23.34</v>
      </c>
      <c r="U38" s="35">
        <f>((1.3375-1)/F38*1000)</f>
        <v>6.7217685719976084</v>
      </c>
      <c r="V38" s="35">
        <v>0</v>
      </c>
      <c r="W38" s="35">
        <f t="shared" si="23"/>
        <v>5.1876639999999998</v>
      </c>
      <c r="X38" s="35">
        <f t="shared" si="24"/>
        <v>49.317377777777793</v>
      </c>
      <c r="Y38" s="35">
        <f t="shared" si="25"/>
        <v>0</v>
      </c>
      <c r="Z38" s="35">
        <f t="shared" si="26"/>
        <v>73.599342806347352</v>
      </c>
      <c r="AA38" s="35">
        <f t="shared" si="27"/>
        <v>60.998498194464226</v>
      </c>
      <c r="AB38" s="36">
        <f t="shared" si="28"/>
        <v>12.600844611883126</v>
      </c>
      <c r="AC38" s="34">
        <f t="shared" si="29"/>
        <v>1445374.7074559999</v>
      </c>
      <c r="AD38" s="34">
        <f t="shared" si="30"/>
        <v>29863.884920236542</v>
      </c>
      <c r="AE38" s="34">
        <f t="shared" si="31"/>
        <v>48.398750240179787</v>
      </c>
      <c r="AF38" s="37">
        <f t="shared" si="32"/>
        <v>-0.92886693049136804</v>
      </c>
      <c r="AG38" s="66">
        <f t="shared" si="33"/>
        <v>0.42886693049136804</v>
      </c>
      <c r="AH38" s="66">
        <f t="shared" si="34"/>
        <v>0.42886693049136804</v>
      </c>
      <c r="AI38" s="67"/>
      <c r="AJ38" s="70"/>
      <c r="AK38" s="68"/>
      <c r="AL38" s="68"/>
      <c r="AM38" s="68"/>
    </row>
    <row r="39" spans="1:39" s="51" customFormat="1" ht="15.75" customHeight="1" x14ac:dyDescent="0.2">
      <c r="A39" s="62" t="s">
        <v>104</v>
      </c>
      <c r="B39" s="64">
        <v>72</v>
      </c>
      <c r="C39" s="64" t="s">
        <v>28</v>
      </c>
      <c r="D39" s="61" t="s">
        <v>0</v>
      </c>
      <c r="E39" s="32">
        <v>44.17</v>
      </c>
      <c r="F39" s="32">
        <v>44.45</v>
      </c>
      <c r="G39" s="32">
        <v>2.94</v>
      </c>
      <c r="H39" s="32">
        <v>22.72</v>
      </c>
      <c r="I39" s="32">
        <v>4.49</v>
      </c>
      <c r="J39" s="64" t="s">
        <v>30</v>
      </c>
      <c r="K39" s="64">
        <v>119.2</v>
      </c>
      <c r="L39" s="64">
        <v>24.5</v>
      </c>
      <c r="M39" s="74">
        <v>-1</v>
      </c>
      <c r="N39" s="64">
        <v>0</v>
      </c>
      <c r="O39" s="64">
        <f t="shared" si="13"/>
        <v>-1</v>
      </c>
      <c r="P39" s="33">
        <v>-0.76900000000000002</v>
      </c>
      <c r="Q39" s="34">
        <v>0.23400000000000001</v>
      </c>
      <c r="R39" s="34">
        <v>0.217</v>
      </c>
      <c r="S39" s="35">
        <f>G39</f>
        <v>2.94</v>
      </c>
      <c r="T39" s="35">
        <f>H39</f>
        <v>22.72</v>
      </c>
      <c r="U39" s="35">
        <f>((1.3375-1)/F39*1000)</f>
        <v>7.5928008998875116</v>
      </c>
      <c r="V39" s="35">
        <v>0</v>
      </c>
      <c r="W39" s="35">
        <f t="shared" si="23"/>
        <v>4.8491999999999997</v>
      </c>
      <c r="X39" s="35">
        <f t="shared" si="24"/>
        <v>43.659777777777791</v>
      </c>
      <c r="Y39" s="35">
        <f t="shared" si="25"/>
        <v>0</v>
      </c>
      <c r="Z39" s="35">
        <f t="shared" si="26"/>
        <v>74.758824451059837</v>
      </c>
      <c r="AA39" s="35">
        <f t="shared" si="27"/>
        <v>51.881384898469143</v>
      </c>
      <c r="AB39" s="36">
        <f t="shared" si="28"/>
        <v>22.877439552590694</v>
      </c>
      <c r="AC39" s="34">
        <f t="shared" si="29"/>
        <v>1199948.9744000002</v>
      </c>
      <c r="AD39" s="34">
        <f t="shared" si="30"/>
        <v>28230.772457680003</v>
      </c>
      <c r="AE39" s="34">
        <f t="shared" si="31"/>
        <v>42.504999684256305</v>
      </c>
      <c r="AF39" s="37">
        <f t="shared" si="32"/>
        <v>-1.1710051060478766</v>
      </c>
      <c r="AG39" s="66">
        <f t="shared" si="33"/>
        <v>0.17100510604787655</v>
      </c>
      <c r="AH39" s="66">
        <f t="shared" si="34"/>
        <v>0.17100510604787655</v>
      </c>
      <c r="AI39" s="67"/>
      <c r="AJ39" s="67"/>
      <c r="AK39" s="68"/>
      <c r="AL39" s="68"/>
      <c r="AM39" s="68"/>
    </row>
    <row r="40" spans="1:39" s="51" customFormat="1" ht="15.75" customHeight="1" x14ac:dyDescent="0.2">
      <c r="A40" s="62" t="s">
        <v>105</v>
      </c>
      <c r="B40" s="64">
        <v>67</v>
      </c>
      <c r="C40" s="64" t="s">
        <v>27</v>
      </c>
      <c r="D40" s="61" t="s">
        <v>1</v>
      </c>
      <c r="E40" s="32">
        <v>41.25</v>
      </c>
      <c r="F40" s="32">
        <v>40.909999999999997</v>
      </c>
      <c r="G40" s="32">
        <v>3.76</v>
      </c>
      <c r="H40" s="32">
        <v>26.94</v>
      </c>
      <c r="I40" s="32">
        <v>4.13</v>
      </c>
      <c r="J40" s="64" t="s">
        <v>60</v>
      </c>
      <c r="K40" s="64">
        <v>119.1</v>
      </c>
      <c r="L40" s="64">
        <v>17</v>
      </c>
      <c r="M40" s="74">
        <v>0</v>
      </c>
      <c r="N40" s="64">
        <v>-1.5</v>
      </c>
      <c r="O40" s="64">
        <v>-0.75</v>
      </c>
      <c r="P40" s="33">
        <v>-0.39900000000000002</v>
      </c>
      <c r="Q40" s="34">
        <v>0.20899999999999999</v>
      </c>
      <c r="R40" s="34">
        <v>0.21099999999999999</v>
      </c>
      <c r="S40" s="35">
        <f>G40</f>
        <v>3.76</v>
      </c>
      <c r="T40" s="35">
        <f>H40</f>
        <v>26.94</v>
      </c>
      <c r="U40" s="35">
        <f>((1.3375-1)/F40*1000)</f>
        <v>8.2498166707406497</v>
      </c>
      <c r="V40" s="35">
        <v>0</v>
      </c>
      <c r="W40" s="35">
        <f t="shared" si="23"/>
        <v>6.07118</v>
      </c>
      <c r="X40" s="35">
        <f t="shared" si="24"/>
        <v>40.182711111111111</v>
      </c>
      <c r="Y40" s="35">
        <f t="shared" si="25"/>
        <v>0</v>
      </c>
      <c r="Z40" s="35">
        <f t="shared" si="26"/>
        <v>64.018952676768507</v>
      </c>
      <c r="AA40" s="35">
        <f t="shared" si="27"/>
        <v>49.159306080870437</v>
      </c>
      <c r="AB40" s="36">
        <f t="shared" si="28"/>
        <v>14.85964659589807</v>
      </c>
      <c r="AC40" s="34">
        <f t="shared" si="29"/>
        <v>1310923.3601599999</v>
      </c>
      <c r="AD40" s="34">
        <f t="shared" si="30"/>
        <v>33837.967835670803</v>
      </c>
      <c r="AE40" s="34">
        <f t="shared" si="31"/>
        <v>38.741196472740612</v>
      </c>
      <c r="AF40" s="37">
        <f t="shared" si="32"/>
        <v>-1.4668891444658714</v>
      </c>
      <c r="AG40" s="66">
        <f t="shared" si="33"/>
        <v>0.71688914446587138</v>
      </c>
      <c r="AH40" s="66">
        <f t="shared" si="34"/>
        <v>0.71688914446587138</v>
      </c>
      <c r="AI40" s="67"/>
      <c r="AJ40" s="67"/>
      <c r="AK40" s="68"/>
      <c r="AL40" s="68"/>
      <c r="AM40" s="68"/>
    </row>
    <row r="41" spans="1:39" s="51" customFormat="1" x14ac:dyDescent="0.2">
      <c r="A41" s="62" t="s">
        <v>106</v>
      </c>
      <c r="B41" s="64">
        <v>52</v>
      </c>
      <c r="C41" s="64" t="s">
        <v>28</v>
      </c>
      <c r="D41" s="61" t="s">
        <v>0</v>
      </c>
      <c r="E41" s="32">
        <v>44.14</v>
      </c>
      <c r="F41" s="32">
        <v>43.87</v>
      </c>
      <c r="G41" s="32">
        <v>3.32</v>
      </c>
      <c r="H41" s="32">
        <v>24.2</v>
      </c>
      <c r="I41" s="32">
        <v>4.26</v>
      </c>
      <c r="J41" s="64" t="s">
        <v>30</v>
      </c>
      <c r="K41" s="64">
        <v>119.2</v>
      </c>
      <c r="L41" s="64">
        <v>19</v>
      </c>
      <c r="M41" s="74">
        <f>0.5</f>
        <v>0.5</v>
      </c>
      <c r="N41" s="64">
        <v>0</v>
      </c>
      <c r="O41" s="64">
        <f t="shared" ref="O41:O48" si="35">M41+(N41/2)</f>
        <v>0.5</v>
      </c>
      <c r="P41" s="33">
        <v>1.024</v>
      </c>
      <c r="Q41" s="34">
        <v>0.21240000000000001</v>
      </c>
      <c r="R41" s="34">
        <v>0.151</v>
      </c>
      <c r="S41" s="35">
        <f>G41</f>
        <v>3.32</v>
      </c>
      <c r="T41" s="35">
        <f>H41</f>
        <v>24.2</v>
      </c>
      <c r="U41" s="35">
        <f>((1.3375-1)/F41*1000)</f>
        <v>7.6931844084795973</v>
      </c>
      <c r="V41" s="35">
        <v>0</v>
      </c>
      <c r="W41" s="35">
        <f t="shared" si="23"/>
        <v>5.3833679999999999</v>
      </c>
      <c r="X41" s="35">
        <f t="shared" si="24"/>
        <v>43.0900888888889</v>
      </c>
      <c r="Y41" s="35">
        <f t="shared" si="25"/>
        <v>0</v>
      </c>
      <c r="Z41" s="35">
        <f t="shared" si="26"/>
        <v>71.001016547488419</v>
      </c>
      <c r="AA41" s="35">
        <f t="shared" si="27"/>
        <v>52.143826364288032</v>
      </c>
      <c r="AB41" s="36">
        <f t="shared" si="28"/>
        <v>18.857190183200387</v>
      </c>
      <c r="AC41" s="34">
        <f t="shared" si="29"/>
        <v>1307254.6133120002</v>
      </c>
      <c r="AD41" s="34">
        <f t="shared" si="30"/>
        <v>30406.559763045057</v>
      </c>
      <c r="AE41" s="34">
        <f t="shared" si="31"/>
        <v>42.992519492480902</v>
      </c>
      <c r="AF41" s="37">
        <f t="shared" si="32"/>
        <v>-9.7683767763112078E-2</v>
      </c>
      <c r="AG41" s="66">
        <f t="shared" si="33"/>
        <v>0.59768376776311205</v>
      </c>
      <c r="AH41" s="66">
        <f t="shared" si="34"/>
        <v>0.59768376776311205</v>
      </c>
      <c r="AI41" s="70"/>
      <c r="AJ41" s="70"/>
      <c r="AK41" s="68"/>
      <c r="AL41" s="68"/>
      <c r="AM41" s="68"/>
    </row>
    <row r="42" spans="1:39" s="51" customFormat="1" x14ac:dyDescent="0.2">
      <c r="A42" s="62" t="s">
        <v>107</v>
      </c>
      <c r="B42" s="64">
        <v>50</v>
      </c>
      <c r="C42" s="64" t="s">
        <v>28</v>
      </c>
      <c r="D42" s="61" t="s">
        <v>0</v>
      </c>
      <c r="E42" s="32">
        <v>41.15</v>
      </c>
      <c r="F42" s="32">
        <v>40.85</v>
      </c>
      <c r="G42" s="32">
        <v>3.31</v>
      </c>
      <c r="H42" s="32">
        <v>26.21</v>
      </c>
      <c r="I42" s="32">
        <v>4.5999999999999996</v>
      </c>
      <c r="J42" s="64" t="s">
        <v>40</v>
      </c>
      <c r="K42" s="64">
        <v>119.2</v>
      </c>
      <c r="L42" s="64">
        <v>18</v>
      </c>
      <c r="M42" s="74">
        <v>-0.75</v>
      </c>
      <c r="N42" s="64">
        <v>-0.5</v>
      </c>
      <c r="O42" s="64">
        <f t="shared" si="35"/>
        <v>-1</v>
      </c>
      <c r="P42" s="33">
        <v>1.024</v>
      </c>
      <c r="Q42" s="34">
        <v>0.21240000000000001</v>
      </c>
      <c r="R42" s="34">
        <v>0.151</v>
      </c>
      <c r="S42" s="35">
        <f>G42</f>
        <v>3.31</v>
      </c>
      <c r="T42" s="35">
        <f>H42</f>
        <v>26.21</v>
      </c>
      <c r="U42" s="35">
        <f>((1.3375-1)/F42*1000)</f>
        <v>8.2619339045287621</v>
      </c>
      <c r="V42" s="35">
        <v>0</v>
      </c>
      <c r="W42" s="35">
        <f t="shared" si="23"/>
        <v>5.6847539999999999</v>
      </c>
      <c r="X42" s="35">
        <f t="shared" si="24"/>
        <v>40.123777777777789</v>
      </c>
      <c r="Y42" s="35">
        <f t="shared" si="25"/>
        <v>0</v>
      </c>
      <c r="Z42" s="35">
        <f t="shared" si="26"/>
        <v>65.090571874266445</v>
      </c>
      <c r="AA42" s="35">
        <f t="shared" si="27"/>
        <v>48.384391577493673</v>
      </c>
      <c r="AB42" s="36">
        <f t="shared" si="28"/>
        <v>16.706180296772771</v>
      </c>
      <c r="AC42" s="34">
        <f t="shared" si="29"/>
        <v>1291304.8841919999</v>
      </c>
      <c r="AD42" s="34">
        <f t="shared" si="30"/>
        <v>32916.302462609288</v>
      </c>
      <c r="AE42" s="34">
        <f t="shared" si="31"/>
        <v>39.229949526039128</v>
      </c>
      <c r="AF42" s="37">
        <f t="shared" si="32"/>
        <v>-0.90351934513879073</v>
      </c>
      <c r="AG42" s="66">
        <f t="shared" si="33"/>
        <v>-9.648065486120927E-2</v>
      </c>
      <c r="AH42" s="66">
        <f t="shared" si="34"/>
        <v>9.648065486120927E-2</v>
      </c>
      <c r="AI42" s="70"/>
      <c r="AJ42" s="70"/>
      <c r="AK42" s="68"/>
      <c r="AL42" s="68"/>
      <c r="AM42" s="68"/>
    </row>
    <row r="43" spans="1:39" s="51" customFormat="1" ht="15.75" customHeight="1" x14ac:dyDescent="0.2">
      <c r="A43" s="62" t="s">
        <v>108</v>
      </c>
      <c r="B43" s="64">
        <v>58</v>
      </c>
      <c r="C43" s="64" t="s">
        <v>28</v>
      </c>
      <c r="D43" s="61" t="s">
        <v>1</v>
      </c>
      <c r="E43" s="32">
        <v>39.65</v>
      </c>
      <c r="F43" s="32">
        <v>39.14</v>
      </c>
      <c r="G43" s="32">
        <v>3.51</v>
      </c>
      <c r="H43" s="32">
        <v>25.47</v>
      </c>
      <c r="I43" s="32">
        <v>3.72</v>
      </c>
      <c r="J43" s="64" t="s">
        <v>60</v>
      </c>
      <c r="K43" s="64">
        <v>119.1</v>
      </c>
      <c r="L43" s="64">
        <v>24.5</v>
      </c>
      <c r="M43" s="74">
        <v>-2</v>
      </c>
      <c r="N43" s="64">
        <v>-0.5</v>
      </c>
      <c r="O43" s="64">
        <f t="shared" si="35"/>
        <v>-2.25</v>
      </c>
      <c r="P43" s="33">
        <v>-0.39900000000000002</v>
      </c>
      <c r="Q43" s="34">
        <v>0.20899999999999999</v>
      </c>
      <c r="R43" s="34">
        <v>0.21099999999999999</v>
      </c>
      <c r="S43" s="35">
        <f>G43</f>
        <v>3.51</v>
      </c>
      <c r="T43" s="35">
        <f>H43</f>
        <v>25.47</v>
      </c>
      <c r="U43" s="35">
        <f>((1.3375-1)/F43*1000)</f>
        <v>8.6228921819110855</v>
      </c>
      <c r="V43" s="35">
        <v>0</v>
      </c>
      <c r="W43" s="35">
        <f t="shared" si="23"/>
        <v>5.7087599999999998</v>
      </c>
      <c r="X43" s="35">
        <f t="shared" si="24"/>
        <v>38.444177777777789</v>
      </c>
      <c r="Y43" s="35">
        <f t="shared" si="25"/>
        <v>0</v>
      </c>
      <c r="Z43" s="35">
        <f t="shared" si="26"/>
        <v>67.607093481987974</v>
      </c>
      <c r="AA43" s="35">
        <f t="shared" si="27"/>
        <v>46.000874485310561</v>
      </c>
      <c r="AB43" s="36">
        <f t="shared" si="28"/>
        <v>21.606218996677413</v>
      </c>
      <c r="AC43" s="34">
        <f t="shared" si="29"/>
        <v>1138071.0923200001</v>
      </c>
      <c r="AD43" s="34">
        <f t="shared" si="30"/>
        <v>31264.0216766712</v>
      </c>
      <c r="AE43" s="34">
        <f t="shared" si="31"/>
        <v>36.401941634054509</v>
      </c>
      <c r="AF43" s="37">
        <f t="shared" si="32"/>
        <v>-2.0935422351763395</v>
      </c>
      <c r="AG43" s="66">
        <f t="shared" si="33"/>
        <v>-0.15645776482366047</v>
      </c>
      <c r="AH43" s="66">
        <f t="shared" si="34"/>
        <v>0.15645776482366047</v>
      </c>
      <c r="AI43" s="67"/>
      <c r="AJ43" s="67"/>
      <c r="AK43" s="68"/>
      <c r="AL43" s="68"/>
      <c r="AM43" s="68"/>
    </row>
    <row r="44" spans="1:39" s="51" customFormat="1" x14ac:dyDescent="0.2">
      <c r="A44" s="62" t="s">
        <v>109</v>
      </c>
      <c r="B44" s="64">
        <v>71</v>
      </c>
      <c r="C44" s="64" t="s">
        <v>27</v>
      </c>
      <c r="D44" s="61" t="s">
        <v>1</v>
      </c>
      <c r="E44" s="32">
        <v>39.81</v>
      </c>
      <c r="F44" s="32">
        <v>39.43</v>
      </c>
      <c r="G44" s="32">
        <v>3.46</v>
      </c>
      <c r="H44" s="32">
        <v>25.76</v>
      </c>
      <c r="I44" s="32">
        <v>4.38</v>
      </c>
      <c r="J44" s="64" t="s">
        <v>60</v>
      </c>
      <c r="K44" s="64">
        <v>119.1</v>
      </c>
      <c r="L44" s="64">
        <v>20.5</v>
      </c>
      <c r="M44" s="74">
        <v>1</v>
      </c>
      <c r="N44" s="64">
        <v>-1</v>
      </c>
      <c r="O44" s="64">
        <f t="shared" si="35"/>
        <v>0.5</v>
      </c>
      <c r="P44" s="33">
        <v>-0.39900000000000002</v>
      </c>
      <c r="Q44" s="34">
        <v>0.20899999999999999</v>
      </c>
      <c r="R44" s="34">
        <v>0.21099999999999999</v>
      </c>
      <c r="S44" s="35">
        <f>G44</f>
        <v>3.46</v>
      </c>
      <c r="T44" s="35">
        <f>H44</f>
        <v>25.76</v>
      </c>
      <c r="U44" s="35">
        <f>((1.3375-1)/F44*1000)</f>
        <v>8.5594724828810538</v>
      </c>
      <c r="V44" s="35">
        <v>0</v>
      </c>
      <c r="W44" s="35">
        <f t="shared" si="23"/>
        <v>5.7595000000000001</v>
      </c>
      <c r="X44" s="35">
        <f t="shared" si="24"/>
        <v>38.729022222222227</v>
      </c>
      <c r="Y44" s="35">
        <f t="shared" si="25"/>
        <v>0</v>
      </c>
      <c r="Z44" s="35">
        <f t="shared" si="26"/>
        <v>66.798330041748954</v>
      </c>
      <c r="AA44" s="35">
        <f t="shared" si="27"/>
        <v>46.491243510740006</v>
      </c>
      <c r="AB44" s="36">
        <f t="shared" si="28"/>
        <v>20.307086531008949</v>
      </c>
      <c r="AC44" s="34">
        <f t="shared" si="29"/>
        <v>1237122.3059999999</v>
      </c>
      <c r="AD44" s="34">
        <f t="shared" si="30"/>
        <v>32053.905965124999</v>
      </c>
      <c r="AE44" s="34">
        <f t="shared" si="31"/>
        <v>38.595056320000516</v>
      </c>
      <c r="AF44" s="37">
        <f t="shared" si="32"/>
        <v>-0.1341816113492221</v>
      </c>
      <c r="AG44" s="66">
        <f t="shared" si="33"/>
        <v>0.63418161134922213</v>
      </c>
      <c r="AH44" s="66">
        <f t="shared" si="34"/>
        <v>0.63418161134922213</v>
      </c>
      <c r="AI44" s="70"/>
      <c r="AJ44" s="71"/>
      <c r="AK44" s="68"/>
      <c r="AL44" s="68"/>
      <c r="AM44" s="68"/>
    </row>
    <row r="45" spans="1:39" s="51" customFormat="1" x14ac:dyDescent="0.2">
      <c r="A45" s="62" t="s">
        <v>110</v>
      </c>
      <c r="B45" s="64">
        <v>57</v>
      </c>
      <c r="C45" s="64" t="s">
        <v>28</v>
      </c>
      <c r="D45" s="61" t="s">
        <v>0</v>
      </c>
      <c r="E45" s="32">
        <v>40.909999999999997</v>
      </c>
      <c r="F45" s="32">
        <v>40.85</v>
      </c>
      <c r="G45" s="32">
        <v>3.35</v>
      </c>
      <c r="H45" s="32">
        <v>24.76</v>
      </c>
      <c r="I45" s="32">
        <v>4.13</v>
      </c>
      <c r="J45" s="64" t="s">
        <v>10</v>
      </c>
      <c r="K45" s="64">
        <v>119.2</v>
      </c>
      <c r="L45" s="64">
        <v>24.5</v>
      </c>
      <c r="M45" s="74">
        <v>-2.25</v>
      </c>
      <c r="N45" s="64">
        <v>0</v>
      </c>
      <c r="O45" s="64">
        <f t="shared" si="35"/>
        <v>-2.25</v>
      </c>
      <c r="P45" s="33">
        <v>1.024</v>
      </c>
      <c r="Q45" s="34">
        <v>0.21240000000000001</v>
      </c>
      <c r="R45" s="34">
        <v>0.151</v>
      </c>
      <c r="S45" s="35">
        <f>G45</f>
        <v>3.35</v>
      </c>
      <c r="T45" s="35">
        <f>H45</f>
        <v>24.76</v>
      </c>
      <c r="U45" s="35">
        <f>((1.3375-1)/F45*1000)</f>
        <v>8.2619339045287621</v>
      </c>
      <c r="V45" s="35">
        <v>0</v>
      </c>
      <c r="W45" s="35">
        <f t="shared" si="23"/>
        <v>5.4743000000000004</v>
      </c>
      <c r="X45" s="35">
        <f t="shared" si="24"/>
        <v>40.123777777777789</v>
      </c>
      <c r="Y45" s="35">
        <f t="shared" si="25"/>
        <v>0</v>
      </c>
      <c r="Z45" s="35">
        <f t="shared" si="26"/>
        <v>69.274125388241018</v>
      </c>
      <c r="AA45" s="35">
        <f t="shared" si="27"/>
        <v>48.01840618511612</v>
      </c>
      <c r="AB45" s="36">
        <f t="shared" si="28"/>
        <v>21.255719203124897</v>
      </c>
      <c r="AC45" s="34">
        <f t="shared" si="29"/>
        <v>1153636.4676000001</v>
      </c>
      <c r="AD45" s="34">
        <f t="shared" si="30"/>
        <v>30492.755166005001</v>
      </c>
      <c r="AE45" s="34">
        <f t="shared" si="31"/>
        <v>37.833133192442297</v>
      </c>
      <c r="AF45" s="37">
        <f t="shared" si="32"/>
        <v>-2.355388891051243</v>
      </c>
      <c r="AG45" s="66">
        <f t="shared" si="33"/>
        <v>0.10538889105124305</v>
      </c>
      <c r="AH45" s="66">
        <f t="shared" si="34"/>
        <v>0.10538889105124305</v>
      </c>
      <c r="AI45" s="70"/>
      <c r="AJ45" s="70"/>
      <c r="AK45" s="68"/>
      <c r="AL45" s="68"/>
      <c r="AM45" s="68"/>
    </row>
    <row r="46" spans="1:39" s="51" customFormat="1" x14ac:dyDescent="0.2">
      <c r="A46" s="62" t="s">
        <v>111</v>
      </c>
      <c r="B46" s="64">
        <v>72</v>
      </c>
      <c r="C46" s="64" t="s">
        <v>27</v>
      </c>
      <c r="D46" s="61" t="s">
        <v>61</v>
      </c>
      <c r="E46" s="32">
        <v>45.12</v>
      </c>
      <c r="F46" s="32">
        <v>44.99</v>
      </c>
      <c r="G46" s="32">
        <v>3.14</v>
      </c>
      <c r="H46" s="32">
        <v>24.35</v>
      </c>
      <c r="I46" s="32">
        <v>4.47</v>
      </c>
      <c r="J46" s="64" t="s">
        <v>62</v>
      </c>
      <c r="K46" s="64">
        <v>119.2</v>
      </c>
      <c r="L46" s="64">
        <v>18</v>
      </c>
      <c r="M46" s="74">
        <v>0</v>
      </c>
      <c r="N46" s="64">
        <v>0</v>
      </c>
      <c r="O46" s="64">
        <f t="shared" si="35"/>
        <v>0</v>
      </c>
      <c r="P46" s="33">
        <v>1.024</v>
      </c>
      <c r="Q46" s="34">
        <v>0.21240000000000001</v>
      </c>
      <c r="R46" s="34">
        <v>0.151</v>
      </c>
      <c r="S46" s="35">
        <f>G46</f>
        <v>3.14</v>
      </c>
      <c r="T46" s="35">
        <f>H46</f>
        <v>24.35</v>
      </c>
      <c r="U46" s="35">
        <f>((1.3375-1)/F46*1000)</f>
        <v>7.5016670371193568</v>
      </c>
      <c r="V46" s="35">
        <v>0</v>
      </c>
      <c r="W46" s="35">
        <f t="shared" si="23"/>
        <v>5.3677860000000006</v>
      </c>
      <c r="X46" s="35">
        <f t="shared" si="24"/>
        <v>44.190177777777798</v>
      </c>
      <c r="Y46" s="35">
        <f t="shared" si="25"/>
        <v>0</v>
      </c>
      <c r="Z46" s="35">
        <f t="shared" si="26"/>
        <v>70.381674129266486</v>
      </c>
      <c r="AA46" s="35">
        <f t="shared" si="27"/>
        <v>53.729760774156929</v>
      </c>
      <c r="AB46" s="36">
        <f t="shared" si="28"/>
        <v>16.651913355109556</v>
      </c>
      <c r="AC46" s="34">
        <f t="shared" si="29"/>
        <v>1328411.7177280001</v>
      </c>
      <c r="AD46" s="34">
        <f t="shared" si="30"/>
        <v>30697.535673952327</v>
      </c>
      <c r="AE46" s="34">
        <f t="shared" si="31"/>
        <v>43.274213664492706</v>
      </c>
      <c r="AF46" s="37">
        <f t="shared" si="32"/>
        <v>-0.92614388806759107</v>
      </c>
      <c r="AG46" s="66">
        <f t="shared" si="33"/>
        <v>0.92614388806759107</v>
      </c>
      <c r="AH46" s="66">
        <f t="shared" si="34"/>
        <v>0.92614388806759107</v>
      </c>
      <c r="AI46" s="70"/>
      <c r="AJ46" s="70"/>
      <c r="AK46" s="68"/>
      <c r="AL46" s="68"/>
      <c r="AM46" s="68"/>
    </row>
    <row r="47" spans="1:39" s="51" customFormat="1" x14ac:dyDescent="0.2">
      <c r="A47" s="62" t="s">
        <v>112</v>
      </c>
      <c r="B47" s="64">
        <v>70</v>
      </c>
      <c r="C47" s="64" t="s">
        <v>28</v>
      </c>
      <c r="D47" s="61" t="s">
        <v>0</v>
      </c>
      <c r="E47" s="32">
        <v>41.01</v>
      </c>
      <c r="F47" s="32">
        <v>40.89</v>
      </c>
      <c r="G47" s="32">
        <v>3.51</v>
      </c>
      <c r="H47" s="32">
        <v>26</v>
      </c>
      <c r="I47" s="32">
        <v>3.84</v>
      </c>
      <c r="J47" s="64" t="s">
        <v>6</v>
      </c>
      <c r="K47" s="64">
        <v>119</v>
      </c>
      <c r="L47" s="64">
        <v>18.5</v>
      </c>
      <c r="M47" s="74">
        <f>0.25</f>
        <v>0.25</v>
      </c>
      <c r="N47" s="64">
        <v>-1</v>
      </c>
      <c r="O47" s="64">
        <f t="shared" si="35"/>
        <v>-0.25</v>
      </c>
      <c r="P47" s="33">
        <v>-0.76900000000000002</v>
      </c>
      <c r="Q47" s="34">
        <v>0.23400000000000001</v>
      </c>
      <c r="R47" s="34">
        <v>0.217</v>
      </c>
      <c r="S47" s="35">
        <f>G47</f>
        <v>3.51</v>
      </c>
      <c r="T47" s="35">
        <f>H47</f>
        <v>26</v>
      </c>
      <c r="U47" s="35">
        <f>((1.3375-1)/F47*1000)</f>
        <v>8.2538517975055008</v>
      </c>
      <c r="V47" s="35">
        <v>0</v>
      </c>
      <c r="W47" s="35">
        <f t="shared" si="23"/>
        <v>5.6943400000000004</v>
      </c>
      <c r="X47" s="35">
        <f t="shared" si="24"/>
        <v>40.163066666666673</v>
      </c>
      <c r="Y47" s="35">
        <f t="shared" si="25"/>
        <v>0</v>
      </c>
      <c r="Z47" s="35">
        <f t="shared" si="26"/>
        <v>65.794463218629687</v>
      </c>
      <c r="AA47" s="35">
        <f t="shared" si="27"/>
        <v>48.458377669515826</v>
      </c>
      <c r="AB47" s="36">
        <f t="shared" si="28"/>
        <v>17.336085549113861</v>
      </c>
      <c r="AC47" s="34">
        <f t="shared" si="29"/>
        <v>1283021.3074399999</v>
      </c>
      <c r="AD47" s="34">
        <f t="shared" si="30"/>
        <v>32596.894358658599</v>
      </c>
      <c r="AE47" s="34">
        <f t="shared" si="31"/>
        <v>39.360231478591622</v>
      </c>
      <c r="AF47" s="37">
        <f t="shared" si="32"/>
        <v>-0.8106449596588482</v>
      </c>
      <c r="AG47" s="66">
        <f t="shared" si="33"/>
        <v>0.5606449596588482</v>
      </c>
      <c r="AH47" s="66">
        <f t="shared" si="34"/>
        <v>0.5606449596588482</v>
      </c>
      <c r="AI47" s="70"/>
      <c r="AJ47" s="70"/>
      <c r="AK47" s="68"/>
      <c r="AL47" s="68"/>
      <c r="AM47" s="68"/>
    </row>
    <row r="48" spans="1:39" s="51" customFormat="1" x14ac:dyDescent="0.2">
      <c r="A48" s="62" t="s">
        <v>113</v>
      </c>
      <c r="B48" s="64">
        <v>52</v>
      </c>
      <c r="C48" s="64" t="s">
        <v>27</v>
      </c>
      <c r="D48" s="61" t="s">
        <v>0</v>
      </c>
      <c r="E48" s="32">
        <v>39.67</v>
      </c>
      <c r="F48" s="32">
        <v>39.07</v>
      </c>
      <c r="G48" s="32">
        <v>3.67</v>
      </c>
      <c r="H48" s="32">
        <v>26.51</v>
      </c>
      <c r="I48" s="32">
        <v>4.13</v>
      </c>
      <c r="J48" s="64" t="s">
        <v>6</v>
      </c>
      <c r="K48" s="64">
        <v>119</v>
      </c>
      <c r="L48" s="64">
        <v>20</v>
      </c>
      <c r="M48" s="74">
        <v>0</v>
      </c>
      <c r="N48" s="64">
        <v>0</v>
      </c>
      <c r="O48" s="64">
        <f t="shared" si="35"/>
        <v>0</v>
      </c>
      <c r="P48" s="33">
        <v>-0.76900000000000002</v>
      </c>
      <c r="Q48" s="34">
        <v>0.23400000000000001</v>
      </c>
      <c r="R48" s="34">
        <v>0.217</v>
      </c>
      <c r="S48" s="35">
        <f>G48</f>
        <v>3.67</v>
      </c>
      <c r="T48" s="35">
        <f>H48</f>
        <v>26.51</v>
      </c>
      <c r="U48" s="35">
        <f>((1.3375-1)/F48*1000)</f>
        <v>8.6383414384438169</v>
      </c>
      <c r="V48" s="35">
        <v>0</v>
      </c>
      <c r="W48" s="35">
        <f t="shared" si="23"/>
        <v>5.8424500000000004</v>
      </c>
      <c r="X48" s="35">
        <f t="shared" si="24"/>
        <v>38.375422222222234</v>
      </c>
      <c r="Y48" s="35">
        <f t="shared" si="25"/>
        <v>0</v>
      </c>
      <c r="Z48" s="35">
        <f t="shared" si="26"/>
        <v>64.64239834910282</v>
      </c>
      <c r="AA48" s="35">
        <f t="shared" si="27"/>
        <v>46.11428599204897</v>
      </c>
      <c r="AB48" s="36">
        <f t="shared" si="28"/>
        <v>18.52811235705385</v>
      </c>
      <c r="AC48" s="34">
        <f t="shared" si="29"/>
        <v>1232659.0639999998</v>
      </c>
      <c r="AD48" s="34">
        <f t="shared" si="30"/>
        <v>33002.37745005</v>
      </c>
      <c r="AE48" s="34">
        <f t="shared" si="31"/>
        <v>37.350614084262958</v>
      </c>
      <c r="AF48" s="37">
        <f t="shared" si="32"/>
        <v>-1.0375678334724037</v>
      </c>
      <c r="AG48" s="66">
        <f t="shared" si="33"/>
        <v>1.0375678334724037</v>
      </c>
      <c r="AH48" s="66">
        <f t="shared" si="34"/>
        <v>1.0375678334724037</v>
      </c>
      <c r="AI48" s="70"/>
      <c r="AJ48" s="70"/>
      <c r="AK48" s="68"/>
      <c r="AL48" s="68"/>
      <c r="AM48" s="68"/>
    </row>
    <row r="49" spans="1:81" s="68" customFormat="1" x14ac:dyDescent="0.2">
      <c r="A49" s="62" t="s">
        <v>114</v>
      </c>
      <c r="B49" s="64">
        <v>70</v>
      </c>
      <c r="C49" s="64" t="s">
        <v>27</v>
      </c>
      <c r="D49" s="61" t="s">
        <v>1</v>
      </c>
      <c r="E49" s="32">
        <v>42.36</v>
      </c>
      <c r="F49" s="32">
        <v>41.81</v>
      </c>
      <c r="G49" s="32">
        <v>2.94</v>
      </c>
      <c r="H49" s="32">
        <v>25.07</v>
      </c>
      <c r="I49" s="32">
        <v>4.5199999999999996</v>
      </c>
      <c r="J49" s="64" t="s">
        <v>40</v>
      </c>
      <c r="K49" s="64">
        <v>119.2</v>
      </c>
      <c r="L49" s="64">
        <v>19</v>
      </c>
      <c r="M49" s="74">
        <v>0</v>
      </c>
      <c r="N49" s="64">
        <v>0</v>
      </c>
      <c r="O49" s="64">
        <v>0</v>
      </c>
      <c r="P49" s="33">
        <v>1.024</v>
      </c>
      <c r="Q49" s="34">
        <v>0.21240000000000001</v>
      </c>
      <c r="R49" s="34">
        <v>0.151</v>
      </c>
      <c r="S49" s="35">
        <f>G49</f>
        <v>2.94</v>
      </c>
      <c r="T49" s="35">
        <f>H49</f>
        <v>25.07</v>
      </c>
      <c r="U49" s="35">
        <f>((1.3375-1)/F49*1000)</f>
        <v>8.0722315235589548</v>
      </c>
      <c r="V49" s="35">
        <v>0</v>
      </c>
      <c r="W49" s="35">
        <f t="shared" ref="W49" si="36">P49+Q49*S49+R49*T49</f>
        <v>5.4340259999999994</v>
      </c>
      <c r="X49" s="35">
        <f t="shared" ref="X49" si="37">(1331.5-1000)/U49</f>
        <v>41.066711111111125</v>
      </c>
      <c r="Y49" s="35">
        <f t="shared" ref="Y49" si="38">V49/(1-12*0.001*V49)</f>
        <v>0</v>
      </c>
      <c r="Z49" s="35">
        <f t="shared" ref="Z49" si="39">1336/(T49-W49)</f>
        <v>68.038387095032817</v>
      </c>
      <c r="AA49" s="35">
        <f t="shared" ref="AA49" si="40">1336/((1336/(X49+Y49))-W49)</f>
        <v>49.301792290513056</v>
      </c>
      <c r="AB49" s="36">
        <f t="shared" ref="AB49" si="41">Z49-AA49</f>
        <v>18.736594804519761</v>
      </c>
      <c r="AC49" s="34">
        <f t="shared" ref="AC49" si="42">1336*(1336-L49*(T49-W49))</f>
        <v>1286456.4359840001</v>
      </c>
      <c r="AD49" s="34">
        <f t="shared" ref="AD49" si="43">1336*(T49-W49)+W49*(1336-L49*(T49-W49))</f>
        <v>31466.174528224845</v>
      </c>
      <c r="AE49" s="34">
        <f t="shared" ref="AE49" si="44">AC49/AD49</f>
        <v>40.883788870809873</v>
      </c>
      <c r="AF49" s="37">
        <f t="shared" ref="AF49" si="45">(AE49-X49)/(1+(AE49-X49)*(12*0.001))</f>
        <v>-0.18332465016979027</v>
      </c>
      <c r="AG49" s="66">
        <f t="shared" ref="AG49" si="46">O49-AF49</f>
        <v>0.18332465016979027</v>
      </c>
      <c r="AH49" s="66">
        <f t="shared" ref="AH49" si="47">SQRT(AG49*AG49)</f>
        <v>0.18332465016979027</v>
      </c>
    </row>
    <row r="50" spans="1:81" s="51" customFormat="1" x14ac:dyDescent="0.2">
      <c r="A50" s="62" t="s">
        <v>115</v>
      </c>
      <c r="B50" s="64">
        <v>63</v>
      </c>
      <c r="C50" s="64" t="s">
        <v>27</v>
      </c>
      <c r="D50" s="61" t="s">
        <v>1</v>
      </c>
      <c r="E50" s="32">
        <v>42.5</v>
      </c>
      <c r="F50" s="32">
        <v>42.48</v>
      </c>
      <c r="G50" s="32">
        <v>2.89</v>
      </c>
      <c r="H50" s="32">
        <v>24.08</v>
      </c>
      <c r="I50" s="32">
        <v>4.8</v>
      </c>
      <c r="J50" s="64" t="s">
        <v>31</v>
      </c>
      <c r="K50" s="64">
        <v>119.2</v>
      </c>
      <c r="L50" s="64">
        <v>21.5</v>
      </c>
      <c r="M50" s="74">
        <v>0</v>
      </c>
      <c r="N50" s="64">
        <v>-0.5</v>
      </c>
      <c r="O50" s="64">
        <f>M50+(N50/2)</f>
        <v>-0.25</v>
      </c>
      <c r="P50" s="33">
        <v>1.024</v>
      </c>
      <c r="Q50" s="34">
        <v>0.21240000000000001</v>
      </c>
      <c r="R50" s="34">
        <v>0.151</v>
      </c>
      <c r="S50" s="35">
        <f>G50</f>
        <v>2.89</v>
      </c>
      <c r="T50" s="35">
        <f>H50</f>
        <v>24.08</v>
      </c>
      <c r="U50" s="35">
        <f>((1.3375-1)/F50*1000)</f>
        <v>7.9449152542372863</v>
      </c>
      <c r="V50" s="35">
        <v>0</v>
      </c>
      <c r="W50" s="35">
        <f t="shared" si="23"/>
        <v>5.2739159999999998</v>
      </c>
      <c r="X50" s="35">
        <f t="shared" si="24"/>
        <v>41.724800000000009</v>
      </c>
      <c r="Y50" s="35">
        <f t="shared" si="25"/>
        <v>0</v>
      </c>
      <c r="Z50" s="35">
        <f t="shared" si="26"/>
        <v>71.040839762281195</v>
      </c>
      <c r="AA50" s="35">
        <f t="shared" si="27"/>
        <v>49.952495334948296</v>
      </c>
      <c r="AB50" s="36">
        <f t="shared" si="28"/>
        <v>21.088344427332899</v>
      </c>
      <c r="AC50" s="34">
        <f>1336*(1336-L50*(T50-W50))</f>
        <v>1244710.0431840001</v>
      </c>
      <c r="AD50" s="34">
        <f>1336*(T50-W50)+W50*(1336-L50*(T50-W50))</f>
        <v>30038.473292943701</v>
      </c>
      <c r="AE50" s="34">
        <f t="shared" si="31"/>
        <v>41.437193929439594</v>
      </c>
      <c r="AF50" s="37">
        <f t="shared" si="32"/>
        <v>-0.28860211520412604</v>
      </c>
      <c r="AG50" s="66">
        <f t="shared" si="33"/>
        <v>3.8602115204126042E-2</v>
      </c>
      <c r="AH50" s="66">
        <f t="shared" si="34"/>
        <v>3.8602115204126042E-2</v>
      </c>
      <c r="AI50" s="70"/>
      <c r="AJ50" s="70"/>
      <c r="AK50" s="68"/>
      <c r="AL50" s="68"/>
      <c r="AM50" s="68"/>
    </row>
    <row r="51" spans="1:81" s="51" customFormat="1" x14ac:dyDescent="0.2">
      <c r="A51" s="62" t="s">
        <v>116</v>
      </c>
      <c r="B51" s="64">
        <v>66</v>
      </c>
      <c r="C51" s="64" t="s">
        <v>27</v>
      </c>
      <c r="D51" s="61" t="s">
        <v>1</v>
      </c>
      <c r="E51" s="32">
        <v>41.33</v>
      </c>
      <c r="F51" s="32">
        <v>41.12</v>
      </c>
      <c r="G51" s="32">
        <v>3.31</v>
      </c>
      <c r="H51" s="32">
        <v>24.99</v>
      </c>
      <c r="I51" s="32">
        <v>4.5599999999999996</v>
      </c>
      <c r="J51" s="64" t="s">
        <v>6</v>
      </c>
      <c r="K51" s="64">
        <v>119</v>
      </c>
      <c r="L51" s="64">
        <v>21</v>
      </c>
      <c r="M51" s="74">
        <v>0</v>
      </c>
      <c r="N51" s="64">
        <v>-1</v>
      </c>
      <c r="O51" s="64">
        <f>M51+(N51/2)</f>
        <v>-0.5</v>
      </c>
      <c r="P51" s="33">
        <v>-0.76900000000000002</v>
      </c>
      <c r="Q51" s="34">
        <v>0.23400000000000001</v>
      </c>
      <c r="R51" s="34">
        <v>0.217</v>
      </c>
      <c r="S51" s="35">
        <f>G51</f>
        <v>3.31</v>
      </c>
      <c r="T51" s="35">
        <f>H51</f>
        <v>24.99</v>
      </c>
      <c r="U51" s="35">
        <f>((1.3375-1)/F51*1000)</f>
        <v>8.2076848249027226</v>
      </c>
      <c r="V51" s="35">
        <v>0</v>
      </c>
      <c r="W51" s="35">
        <f t="shared" si="23"/>
        <v>5.4283699999999993</v>
      </c>
      <c r="X51" s="35">
        <f t="shared" si="24"/>
        <v>40.388977777777782</v>
      </c>
      <c r="Y51" s="35">
        <f t="shared" si="25"/>
        <v>0</v>
      </c>
      <c r="Z51" s="35">
        <f t="shared" si="26"/>
        <v>68.296967072784838</v>
      </c>
      <c r="AA51" s="35">
        <f t="shared" si="27"/>
        <v>48.318331114873509</v>
      </c>
      <c r="AB51" s="36">
        <f t="shared" si="28"/>
        <v>19.97863595791133</v>
      </c>
      <c r="AC51" s="34">
        <f>1336*(1336-L51*(T51-W51))</f>
        <v>1236074.9087199999</v>
      </c>
      <c r="AD51" s="34">
        <f>1336*(T51-W51)+W51*(1336-L51*(T51-W51))</f>
        <v>31156.696925694901</v>
      </c>
      <c r="AE51" s="34">
        <f t="shared" si="31"/>
        <v>39.672848237664439</v>
      </c>
      <c r="AF51" s="37">
        <f t="shared" si="32"/>
        <v>-0.72233698232485288</v>
      </c>
      <c r="AG51" s="66">
        <f t="shared" si="33"/>
        <v>0.22233698232485288</v>
      </c>
      <c r="AH51" s="66">
        <f t="shared" si="34"/>
        <v>0.22233698232485288</v>
      </c>
      <c r="AI51" s="70"/>
      <c r="AJ51" s="68"/>
      <c r="AK51" s="68"/>
      <c r="AL51" s="68"/>
      <c r="AM51" s="68"/>
    </row>
    <row r="52" spans="1:81" s="51" customFormat="1" x14ac:dyDescent="0.2">
      <c r="A52" s="62" t="s">
        <v>117</v>
      </c>
      <c r="B52" s="64">
        <v>66</v>
      </c>
      <c r="C52" s="64" t="s">
        <v>28</v>
      </c>
      <c r="D52" s="61" t="s">
        <v>1</v>
      </c>
      <c r="E52" s="32">
        <v>40.93</v>
      </c>
      <c r="F52" s="32">
        <v>40.69</v>
      </c>
      <c r="G52" s="32">
        <v>4.1900000000000004</v>
      </c>
      <c r="H52" s="32">
        <v>25.33</v>
      </c>
      <c r="I52" s="32">
        <v>3.92</v>
      </c>
      <c r="J52" s="64" t="s">
        <v>40</v>
      </c>
      <c r="K52" s="64">
        <v>119.2</v>
      </c>
      <c r="L52" s="64">
        <v>23.5</v>
      </c>
      <c r="M52" s="74">
        <v>-2.25</v>
      </c>
      <c r="N52" s="64">
        <v>0</v>
      </c>
      <c r="O52" s="64">
        <f>M52+(N52/2)</f>
        <v>-2.25</v>
      </c>
      <c r="P52" s="33">
        <v>1.024</v>
      </c>
      <c r="Q52" s="34">
        <v>0.21240000000000001</v>
      </c>
      <c r="R52" s="34">
        <v>0.151</v>
      </c>
      <c r="S52" s="35">
        <f>G52</f>
        <v>4.1900000000000004</v>
      </c>
      <c r="T52" s="35">
        <f>H52</f>
        <v>25.33</v>
      </c>
      <c r="U52" s="35">
        <f>((1.3375-1)/F52*1000)</f>
        <v>8.2944212337183565</v>
      </c>
      <c r="V52" s="35">
        <v>0</v>
      </c>
      <c r="W52" s="35">
        <f t="shared" si="23"/>
        <v>5.7387859999999993</v>
      </c>
      <c r="X52" s="35">
        <f t="shared" si="24"/>
        <v>39.966622222222234</v>
      </c>
      <c r="Y52" s="35">
        <f t="shared" si="25"/>
        <v>0</v>
      </c>
      <c r="Z52" s="35">
        <f t="shared" si="26"/>
        <v>68.193834236101949</v>
      </c>
      <c r="AA52" s="35">
        <f t="shared" si="27"/>
        <v>48.250019953699777</v>
      </c>
      <c r="AB52" s="36">
        <f t="shared" si="28"/>
        <v>19.943814282402172</v>
      </c>
      <c r="AC52" s="34">
        <f>1336*(1336-L52*(T52-W52))</f>
        <v>1169810.245256</v>
      </c>
      <c r="AD52" s="34">
        <f>1336*(T52-W52)+W52*(1336-L52*(T52-W52))</f>
        <v>31198.780061284207</v>
      </c>
      <c r="AE52" s="34">
        <f t="shared" si="31"/>
        <v>37.495384209194242</v>
      </c>
      <c r="AF52" s="37">
        <f t="shared" si="32"/>
        <v>-2.5467618699456724</v>
      </c>
      <c r="AG52" s="66">
        <f t="shared" si="33"/>
        <v>0.29676186994567244</v>
      </c>
      <c r="AH52" s="66">
        <f t="shared" si="34"/>
        <v>0.29676186994567244</v>
      </c>
      <c r="AI52" s="70"/>
      <c r="AJ52" s="70"/>
      <c r="AK52" s="68"/>
      <c r="AL52" s="68"/>
      <c r="AM52" s="68"/>
    </row>
    <row r="53" spans="1:81" s="51" customFormat="1" x14ac:dyDescent="0.2">
      <c r="A53" s="62" t="s">
        <v>118</v>
      </c>
      <c r="B53" s="64">
        <v>73</v>
      </c>
      <c r="C53" s="64" t="s">
        <v>27</v>
      </c>
      <c r="D53" s="61" t="s">
        <v>1</v>
      </c>
      <c r="E53" s="32">
        <v>39.909999999999997</v>
      </c>
      <c r="F53" s="32">
        <v>39.99</v>
      </c>
      <c r="G53" s="32">
        <v>3.73</v>
      </c>
      <c r="H53" s="32">
        <v>28.57</v>
      </c>
      <c r="I53" s="32">
        <v>4.1100000000000003</v>
      </c>
      <c r="J53" s="64" t="s">
        <v>63</v>
      </c>
      <c r="K53" s="64">
        <v>119.2</v>
      </c>
      <c r="L53" s="64">
        <v>11</v>
      </c>
      <c r="M53" s="74">
        <v>0.25</v>
      </c>
      <c r="N53" s="64">
        <v>-0.5</v>
      </c>
      <c r="O53" s="64">
        <f>M53+(N53/2)</f>
        <v>0</v>
      </c>
      <c r="P53" s="33">
        <v>1.024</v>
      </c>
      <c r="Q53" s="34">
        <v>0.21240000000000001</v>
      </c>
      <c r="R53" s="34">
        <v>0.151</v>
      </c>
      <c r="S53" s="35">
        <f>G53</f>
        <v>3.73</v>
      </c>
      <c r="T53" s="35">
        <f>H53</f>
        <v>28.57</v>
      </c>
      <c r="U53" s="35">
        <f>((1.3375-1)/F53*1000)</f>
        <v>8.439609902475615</v>
      </c>
      <c r="V53" s="35">
        <v>0</v>
      </c>
      <c r="W53" s="35">
        <f t="shared" si="23"/>
        <v>6.1303219999999996</v>
      </c>
      <c r="X53" s="35">
        <f t="shared" si="24"/>
        <v>39.279066666666687</v>
      </c>
      <c r="Y53" s="35">
        <f t="shared" si="25"/>
        <v>0</v>
      </c>
      <c r="Z53" s="35">
        <f t="shared" si="26"/>
        <v>59.537396213974191</v>
      </c>
      <c r="AA53" s="35">
        <f t="shared" si="27"/>
        <v>47.915004845812675</v>
      </c>
      <c r="AB53" s="36">
        <f t="shared" si="28"/>
        <v>11.622391368161516</v>
      </c>
      <c r="AC53" s="34">
        <f>1336*(1336-L53*(T53-W53))</f>
        <v>1455122.492112</v>
      </c>
      <c r="AD53" s="34">
        <f>1336*(T53-W53)+W53*(1336-L53*(T53-W53))</f>
        <v>36656.333031120521</v>
      </c>
      <c r="AE53" s="34">
        <f t="shared" si="31"/>
        <v>39.696346355120383</v>
      </c>
      <c r="AF53" s="37">
        <f t="shared" si="32"/>
        <v>0.415200630974431</v>
      </c>
      <c r="AG53" s="66">
        <f t="shared" si="33"/>
        <v>-0.415200630974431</v>
      </c>
      <c r="AH53" s="66">
        <f t="shared" si="34"/>
        <v>0.415200630974431</v>
      </c>
      <c r="AI53" s="61"/>
      <c r="AJ53" s="68"/>
      <c r="AK53" s="68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70">
        <v>43628</v>
      </c>
      <c r="BZ53" s="70">
        <v>43661</v>
      </c>
      <c r="CA53" s="72">
        <f t="shared" ref="CA53" si="48">(BZ53-BY53)/30</f>
        <v>1.1000000000000001</v>
      </c>
      <c r="CB53" s="61">
        <v>40</v>
      </c>
      <c r="CC53" s="61"/>
    </row>
    <row r="54" spans="1:81" ht="17" thickBot="1" x14ac:dyDescent="0.25">
      <c r="AG54" s="60" t="s">
        <v>120</v>
      </c>
      <c r="AH54" s="60"/>
      <c r="AJ54" s="70"/>
      <c r="AK54" s="68"/>
    </row>
    <row r="55" spans="1:81" x14ac:dyDescent="0.2">
      <c r="B55" s="75">
        <f>AVERAGE(B3:B53)</f>
        <v>60.392156862745097</v>
      </c>
      <c r="C55" s="54">
        <f>COUNTIF(C3:C53,"=F")</f>
        <v>29</v>
      </c>
      <c r="AG55" s="3" t="s">
        <v>14</v>
      </c>
      <c r="AH55" s="4" t="s">
        <v>13</v>
      </c>
      <c r="AJ55" s="68"/>
      <c r="AK55" s="68"/>
    </row>
    <row r="56" spans="1:81" x14ac:dyDescent="0.2">
      <c r="B56" s="75">
        <f>STDEV(B3:B53)</f>
        <v>7.8614971382620125</v>
      </c>
      <c r="AG56" s="5">
        <f>AVERAGE(AG3:AG53)</f>
        <v>9.3488598426261268E-2</v>
      </c>
      <c r="AH56" s="6">
        <f>AVERAGE(AH3:AH53)</f>
        <v>0.36445656632017004</v>
      </c>
      <c r="AJ56" s="70"/>
      <c r="AK56" s="68"/>
    </row>
    <row r="57" spans="1:81" x14ac:dyDescent="0.2">
      <c r="AG57" s="7">
        <f>STDEV(AG3:AG53)</f>
        <v>0.44049900648093182</v>
      </c>
      <c r="AH57" s="8" t="s">
        <v>15</v>
      </c>
      <c r="AJ57" s="68"/>
      <c r="AK57" s="68"/>
    </row>
    <row r="58" spans="1:81" x14ac:dyDescent="0.2">
      <c r="AG58" s="9"/>
      <c r="AH58" s="10">
        <f>MEDIAN(AH3:AH53)</f>
        <v>0.25995476751146784</v>
      </c>
      <c r="AJ58" s="70"/>
      <c r="AK58" s="68"/>
    </row>
    <row r="59" spans="1:81" x14ac:dyDescent="0.2">
      <c r="AG59" s="11" t="s">
        <v>16</v>
      </c>
      <c r="AH59" s="12">
        <f>COUNT(AH3:AH53)</f>
        <v>51</v>
      </c>
      <c r="AJ59" s="68"/>
      <c r="AK59" s="68"/>
    </row>
    <row r="60" spans="1:81" x14ac:dyDescent="0.2">
      <c r="AG60" s="13" t="s">
        <v>17</v>
      </c>
      <c r="AH60" s="14">
        <f>COUNTIF(AH3:AH53,"&lt;0.26")</f>
        <v>26</v>
      </c>
      <c r="AJ60" s="70"/>
      <c r="AK60" s="68"/>
    </row>
    <row r="61" spans="1:81" x14ac:dyDescent="0.2">
      <c r="AG61" s="15" t="s">
        <v>18</v>
      </c>
      <c r="AH61" s="16">
        <f>AH60*100/AH59</f>
        <v>50.980392156862742</v>
      </c>
      <c r="AJ61" s="68"/>
      <c r="AK61" s="68"/>
    </row>
    <row r="62" spans="1:81" x14ac:dyDescent="0.2">
      <c r="AG62" s="13" t="s">
        <v>19</v>
      </c>
      <c r="AH62" s="14">
        <f>COUNTIF(AH3:AH53,"&lt;0.51")</f>
        <v>39</v>
      </c>
      <c r="AJ62" s="70"/>
      <c r="AK62" s="68"/>
    </row>
    <row r="63" spans="1:81" x14ac:dyDescent="0.2">
      <c r="AG63" s="15" t="s">
        <v>18</v>
      </c>
      <c r="AH63" s="16">
        <f>AH62*100/AH59</f>
        <v>76.470588235294116</v>
      </c>
      <c r="AJ63" s="68"/>
      <c r="AK63" s="68"/>
    </row>
    <row r="64" spans="1:81" x14ac:dyDescent="0.2">
      <c r="AG64" s="13" t="s">
        <v>20</v>
      </c>
      <c r="AH64" s="14">
        <f>COUNTIF(AH3:AH53,"&lt;0.76")</f>
        <v>46</v>
      </c>
      <c r="AJ64" s="70"/>
      <c r="AK64" s="68"/>
    </row>
    <row r="65" spans="1:37" x14ac:dyDescent="0.2">
      <c r="AG65" s="15" t="s">
        <v>18</v>
      </c>
      <c r="AH65" s="16">
        <f>AH64*100/AH59</f>
        <v>90.196078431372555</v>
      </c>
      <c r="AJ65" s="68"/>
      <c r="AK65" s="68"/>
    </row>
    <row r="66" spans="1:37" x14ac:dyDescent="0.2">
      <c r="AG66" s="13" t="s">
        <v>21</v>
      </c>
      <c r="AH66" s="14">
        <f>COUNTIF(AH3:AH53,"&lt;1.01")</f>
        <v>49</v>
      </c>
      <c r="AJ66" s="70"/>
      <c r="AK66" s="68"/>
    </row>
    <row r="67" spans="1:37" ht="17" thickBot="1" x14ac:dyDescent="0.25">
      <c r="AG67" s="17" t="s">
        <v>18</v>
      </c>
      <c r="AH67" s="18">
        <f>AH66*100/AH59</f>
        <v>96.078431372549019</v>
      </c>
      <c r="AJ67" s="68"/>
      <c r="AK67" s="68"/>
    </row>
    <row r="70" spans="1:37" x14ac:dyDescent="0.2">
      <c r="A70" s="62" t="s">
        <v>121</v>
      </c>
      <c r="B70" s="73">
        <v>73</v>
      </c>
      <c r="C70" s="73" t="s">
        <v>27</v>
      </c>
      <c r="D70" s="50" t="s">
        <v>1</v>
      </c>
      <c r="E70" s="50">
        <v>46.71</v>
      </c>
      <c r="F70" s="50">
        <v>46.77</v>
      </c>
      <c r="G70" s="50">
        <v>2.79</v>
      </c>
      <c r="H70" s="50">
        <v>22.83</v>
      </c>
      <c r="I70" s="50">
        <v>4.84</v>
      </c>
      <c r="J70" s="73" t="s">
        <v>60</v>
      </c>
      <c r="K70" s="73">
        <v>119.1</v>
      </c>
      <c r="L70" s="73">
        <v>19.5</v>
      </c>
      <c r="M70" s="73">
        <v>0</v>
      </c>
      <c r="N70" s="73">
        <v>-0.5</v>
      </c>
      <c r="O70" s="73">
        <f t="shared" ref="O70:O111" si="49">M70+(N70/2)</f>
        <v>-0.25</v>
      </c>
      <c r="P70" s="33">
        <v>-0.39900000000000002</v>
      </c>
      <c r="Q70" s="34">
        <v>0.20899999999999999</v>
      </c>
      <c r="R70" s="34">
        <v>0.21099999999999999</v>
      </c>
      <c r="S70" s="35">
        <f>G70</f>
        <v>2.79</v>
      </c>
      <c r="T70" s="35">
        <f>H70</f>
        <v>22.83</v>
      </c>
      <c r="U70" s="35">
        <f>((1.3375-1)/F70*1000)</f>
        <v>7.2161642078255266</v>
      </c>
      <c r="V70" s="35">
        <v>0</v>
      </c>
      <c r="W70" s="35">
        <f t="shared" ref="W70:W71" si="50">P70+Q70*S70+R70*T70</f>
        <v>5.0012399999999992</v>
      </c>
      <c r="X70" s="35">
        <f t="shared" ref="X70:X71" si="51">(1331.5-1000)/U70</f>
        <v>45.938533333333346</v>
      </c>
      <c r="Y70" s="35">
        <f t="shared" ref="Y70:Y71" si="52">V70/(1-12*0.001*V70)</f>
        <v>0</v>
      </c>
      <c r="Z70" s="35">
        <f t="shared" ref="Z70:Z71" si="53">1336/(T70-W70)</f>
        <v>74.935104853057652</v>
      </c>
      <c r="AA70" s="35">
        <f t="shared" ref="AA70:AA71" si="54">1336/((1336/(X70+Y70))-W70)</f>
        <v>55.47919550814526</v>
      </c>
      <c r="AB70" s="36">
        <f t="shared" ref="AB70:AB71" si="55">Z70-AA70</f>
        <v>19.455909344912392</v>
      </c>
      <c r="AC70" s="34">
        <f>1336*(1336-L70*(T70-W70))</f>
        <v>1320421.14448</v>
      </c>
      <c r="AD70" s="34">
        <f>1336*(T70-W70)+W70*(1336-L70*(T70-W70))</f>
        <v>28762.144800583199</v>
      </c>
      <c r="AE70" s="34">
        <f t="shared" ref="AE70:AE71" si="56">AC70/AD70</f>
        <v>45.908299038019805</v>
      </c>
      <c r="AF70" s="37">
        <f t="shared" ref="AF70:AF71" si="57">(AE70-X70)/(1+(AE70-X70)*(12*0.001))</f>
        <v>-3.0245268646149848E-2</v>
      </c>
      <c r="AG70" s="25">
        <f t="shared" ref="AG70:AG71" si="58">O70-AF70</f>
        <v>-0.21975473135385015</v>
      </c>
      <c r="AH70" s="25">
        <f t="shared" ref="AH70:AH71" si="59">SQRT(AG70*AG70)</f>
        <v>0.21975473135385015</v>
      </c>
    </row>
    <row r="71" spans="1:37" x14ac:dyDescent="0.2">
      <c r="A71" s="62" t="s">
        <v>122</v>
      </c>
      <c r="B71" s="73">
        <v>65</v>
      </c>
      <c r="C71" s="73" t="s">
        <v>27</v>
      </c>
      <c r="D71" s="50" t="s">
        <v>0</v>
      </c>
      <c r="E71" s="50">
        <v>42.2</v>
      </c>
      <c r="F71" s="50">
        <v>42.08</v>
      </c>
      <c r="G71" s="50">
        <v>2.5299999999999998</v>
      </c>
      <c r="H71" s="50">
        <v>23.72</v>
      </c>
      <c r="I71" s="50">
        <v>5.07</v>
      </c>
      <c r="J71" s="73" t="s">
        <v>64</v>
      </c>
      <c r="K71" s="73">
        <v>119.2</v>
      </c>
      <c r="L71" s="73">
        <v>22</v>
      </c>
      <c r="M71" s="73">
        <v>0</v>
      </c>
      <c r="N71" s="73">
        <v>0</v>
      </c>
      <c r="O71" s="73">
        <f t="shared" si="49"/>
        <v>0</v>
      </c>
      <c r="P71" s="33">
        <v>1.476</v>
      </c>
      <c r="Q71" s="34">
        <v>0.23300000000000001</v>
      </c>
      <c r="R71" s="34">
        <v>0.122</v>
      </c>
      <c r="S71" s="35">
        <f>G71</f>
        <v>2.5299999999999998</v>
      </c>
      <c r="T71" s="35">
        <f>H71</f>
        <v>23.72</v>
      </c>
      <c r="U71" s="35">
        <f>((1.3375-1)/F71*1000)</f>
        <v>8.0204372623574116</v>
      </c>
      <c r="V71" s="35">
        <v>0</v>
      </c>
      <c r="W71" s="35">
        <f t="shared" si="50"/>
        <v>4.9593299999999996</v>
      </c>
      <c r="X71" s="35">
        <f t="shared" si="51"/>
        <v>41.331911111111125</v>
      </c>
      <c r="Y71" s="35">
        <f t="shared" si="52"/>
        <v>0</v>
      </c>
      <c r="Z71" s="35">
        <f t="shared" si="53"/>
        <v>71.212808497777544</v>
      </c>
      <c r="AA71" s="35">
        <f t="shared" si="54"/>
        <v>48.822624042834903</v>
      </c>
      <c r="AB71" s="36">
        <f t="shared" si="55"/>
        <v>22.390184454942641</v>
      </c>
      <c r="AC71" s="34">
        <f>1336*(1336-L71*(T71-W71))</f>
        <v>1233482.3873600001</v>
      </c>
      <c r="AD71" s="34">
        <f>1336*(T71-W71)+W71*(1336-L71*(T71-W71))</f>
        <v>29643.032221875797</v>
      </c>
      <c r="AE71" s="34">
        <f t="shared" si="56"/>
        <v>41.611208263968408</v>
      </c>
      <c r="AF71" s="37">
        <f t="shared" si="57"/>
        <v>0.27836419692537817</v>
      </c>
      <c r="AG71" s="25">
        <f t="shared" si="58"/>
        <v>-0.27836419692537817</v>
      </c>
      <c r="AH71" s="25">
        <f t="shared" si="59"/>
        <v>0.27836419692537817</v>
      </c>
    </row>
    <row r="72" spans="1:37" x14ac:dyDescent="0.2">
      <c r="A72" s="62" t="s">
        <v>123</v>
      </c>
      <c r="B72" s="73">
        <v>62</v>
      </c>
      <c r="C72" s="73" t="s">
        <v>27</v>
      </c>
      <c r="D72" s="50" t="s">
        <v>1</v>
      </c>
      <c r="E72" s="50">
        <v>44.83</v>
      </c>
      <c r="F72" s="50">
        <v>45.15</v>
      </c>
      <c r="G72" s="50">
        <v>3.02</v>
      </c>
      <c r="H72" s="50">
        <v>23.25</v>
      </c>
      <c r="I72" s="50">
        <v>4.42</v>
      </c>
      <c r="J72" s="73" t="s">
        <v>60</v>
      </c>
      <c r="K72" s="73">
        <v>119.1</v>
      </c>
      <c r="L72" s="73">
        <v>23.5</v>
      </c>
      <c r="M72" s="73">
        <v>-2.25</v>
      </c>
      <c r="N72" s="73">
        <v>-0.25</v>
      </c>
      <c r="O72" s="73">
        <f t="shared" si="49"/>
        <v>-2.375</v>
      </c>
      <c r="P72" s="33">
        <v>-0.39900000000000002</v>
      </c>
      <c r="Q72" s="34">
        <v>0.20899999999999999</v>
      </c>
      <c r="R72" s="34">
        <v>0.21099999999999999</v>
      </c>
      <c r="S72" s="35">
        <f>G72</f>
        <v>3.02</v>
      </c>
      <c r="T72" s="35">
        <f>H72</f>
        <v>23.25</v>
      </c>
      <c r="U72" s="35">
        <f>((1.3375-1)/F72*1000)</f>
        <v>7.4750830564784039</v>
      </c>
      <c r="V72" s="35">
        <v>0</v>
      </c>
      <c r="W72" s="35">
        <f t="shared" ref="W72:W111" si="60">P72+Q72*S72+R72*T72</f>
        <v>5.1379299999999999</v>
      </c>
      <c r="X72" s="35">
        <f t="shared" ref="X72:X111" si="61">(1331.5-1000)/U72</f>
        <v>44.347333333333339</v>
      </c>
      <c r="Y72" s="35">
        <f t="shared" ref="Y72:Y111" si="62">V72/(1-12*0.001*V72)</f>
        <v>0</v>
      </c>
      <c r="Z72" s="35">
        <f t="shared" ref="Z72:Z111" si="63">1336/(T72-W72)</f>
        <v>73.762965801258503</v>
      </c>
      <c r="AA72" s="35">
        <f t="shared" ref="AA72:AA111" si="64">1336/((1336/(X72+Y72))-W72)</f>
        <v>53.465888338256086</v>
      </c>
      <c r="AB72" s="36">
        <f t="shared" ref="AB72:AB111" si="65">Z72-AA72</f>
        <v>20.297077463002417</v>
      </c>
      <c r="AC72" s="34">
        <f t="shared" ref="AC72:AC111" si="66">1336*(1336-L72*(T72-W72))</f>
        <v>1216249.45028</v>
      </c>
      <c r="AD72" s="34">
        <f t="shared" ref="AD72:AD111" si="67">1336*(T72-W72)+W72*(1336-L72*(T72-W72))</f>
        <v>28875.124126345152</v>
      </c>
      <c r="AE72" s="34">
        <f t="shared" ref="AE72:AE111" si="68">AC72/AD72</f>
        <v>42.121012015678765</v>
      </c>
      <c r="AF72" s="37">
        <f t="shared" ref="AF72:AF111" si="69">(AE72-X72)/(1+(AE72-X72)*(12*0.001))</f>
        <v>-2.2874320217264366</v>
      </c>
      <c r="AG72" s="25">
        <f t="shared" ref="AG72:AG111" si="70">O72-AF72</f>
        <v>-8.756797827356344E-2</v>
      </c>
      <c r="AH72" s="25">
        <f t="shared" ref="AH72:AH111" si="71">SQRT(AG72*AG72)</f>
        <v>8.756797827356344E-2</v>
      </c>
    </row>
    <row r="73" spans="1:37" x14ac:dyDescent="0.2">
      <c r="A73" s="62" t="s">
        <v>124</v>
      </c>
      <c r="B73" s="73">
        <v>74</v>
      </c>
      <c r="C73" s="73" t="s">
        <v>28</v>
      </c>
      <c r="D73" s="50" t="s">
        <v>0</v>
      </c>
      <c r="E73" s="50">
        <v>45.62</v>
      </c>
      <c r="F73" s="50">
        <v>45.68</v>
      </c>
      <c r="G73" s="50">
        <v>3.16</v>
      </c>
      <c r="H73" s="50">
        <v>22.95</v>
      </c>
      <c r="I73" s="50">
        <v>4.57</v>
      </c>
      <c r="J73" s="73" t="s">
        <v>60</v>
      </c>
      <c r="K73" s="73">
        <v>119.1</v>
      </c>
      <c r="L73" s="73">
        <v>21.5</v>
      </c>
      <c r="M73" s="73">
        <v>-0.25</v>
      </c>
      <c r="N73" s="73">
        <v>-0.75</v>
      </c>
      <c r="O73" s="73">
        <f t="shared" si="49"/>
        <v>-0.625</v>
      </c>
      <c r="P73" s="33">
        <v>-0.39900000000000002</v>
      </c>
      <c r="Q73" s="34">
        <v>0.20899999999999999</v>
      </c>
      <c r="R73" s="34">
        <v>0.21099999999999999</v>
      </c>
      <c r="S73" s="35">
        <f>G73</f>
        <v>3.16</v>
      </c>
      <c r="T73" s="35">
        <f>H73</f>
        <v>22.95</v>
      </c>
      <c r="U73" s="35">
        <f>((1.3375-1)/F73*1000)</f>
        <v>7.3883537653239912</v>
      </c>
      <c r="V73" s="35">
        <v>0</v>
      </c>
      <c r="W73" s="35">
        <f t="shared" si="60"/>
        <v>5.1038899999999998</v>
      </c>
      <c r="X73" s="35">
        <f t="shared" si="61"/>
        <v>44.86791111111112</v>
      </c>
      <c r="Y73" s="35">
        <f t="shared" si="62"/>
        <v>0</v>
      </c>
      <c r="Z73" s="35">
        <f t="shared" si="63"/>
        <v>74.862252894328236</v>
      </c>
      <c r="AA73" s="35">
        <f t="shared" si="64"/>
        <v>54.149572764138583</v>
      </c>
      <c r="AB73" s="36">
        <f t="shared" si="65"/>
        <v>20.712680130189653</v>
      </c>
      <c r="AC73" s="34">
        <f t="shared" si="66"/>
        <v>1272284.3363600001</v>
      </c>
      <c r="AD73" s="34">
        <f t="shared" si="67"/>
        <v>28702.881479090149</v>
      </c>
      <c r="AE73" s="34">
        <f t="shared" si="68"/>
        <v>44.326014351097484</v>
      </c>
      <c r="AF73" s="37">
        <f t="shared" si="69"/>
        <v>-0.54544364977261706</v>
      </c>
      <c r="AG73" s="25">
        <f t="shared" si="70"/>
        <v>-7.9556350227382944E-2</v>
      </c>
      <c r="AH73" s="25">
        <f t="shared" si="71"/>
        <v>7.9556350227382944E-2</v>
      </c>
    </row>
    <row r="74" spans="1:37" x14ac:dyDescent="0.2">
      <c r="A74" s="62" t="s">
        <v>125</v>
      </c>
      <c r="B74" s="73">
        <v>60</v>
      </c>
      <c r="C74" s="73" t="s">
        <v>27</v>
      </c>
      <c r="D74" s="50" t="s">
        <v>1</v>
      </c>
      <c r="E74" s="50">
        <v>45.49</v>
      </c>
      <c r="F74" s="50">
        <v>45.69</v>
      </c>
      <c r="G74" s="50">
        <v>2.89</v>
      </c>
      <c r="H74" s="50">
        <v>22.8</v>
      </c>
      <c r="I74" s="50">
        <v>4.4800000000000004</v>
      </c>
      <c r="J74" s="73" t="s">
        <v>60</v>
      </c>
      <c r="K74" s="73">
        <v>119.1</v>
      </c>
      <c r="L74" s="73">
        <v>23.5</v>
      </c>
      <c r="M74" s="73">
        <v>-2.25</v>
      </c>
      <c r="N74" s="73">
        <v>-0.5</v>
      </c>
      <c r="O74" s="73">
        <f t="shared" si="49"/>
        <v>-2.5</v>
      </c>
      <c r="P74" s="33">
        <v>-0.39900000000000002</v>
      </c>
      <c r="Q74" s="34">
        <v>0.20899999999999999</v>
      </c>
      <c r="R74" s="34">
        <v>0.21099999999999999</v>
      </c>
      <c r="S74" s="35">
        <f>G74</f>
        <v>2.89</v>
      </c>
      <c r="T74" s="35">
        <f>H74</f>
        <v>22.8</v>
      </c>
      <c r="U74" s="35">
        <f>((1.3375-1)/F74*1000)</f>
        <v>7.3867367038739316</v>
      </c>
      <c r="V74" s="35">
        <v>0</v>
      </c>
      <c r="W74" s="35">
        <f t="shared" si="60"/>
        <v>5.0158100000000001</v>
      </c>
      <c r="X74" s="35">
        <f t="shared" si="61"/>
        <v>44.877733333333339</v>
      </c>
      <c r="Y74" s="35">
        <f t="shared" si="62"/>
        <v>0</v>
      </c>
      <c r="Z74" s="35">
        <f t="shared" si="63"/>
        <v>75.122904107524704</v>
      </c>
      <c r="AA74" s="35">
        <f t="shared" si="64"/>
        <v>53.971152850649403</v>
      </c>
      <c r="AB74" s="36">
        <f t="shared" si="65"/>
        <v>21.151751256875301</v>
      </c>
      <c r="AC74" s="34">
        <f t="shared" si="66"/>
        <v>1226543.5707599998</v>
      </c>
      <c r="AD74" s="34">
        <f t="shared" si="67"/>
        <v>28364.550225968353</v>
      </c>
      <c r="AE74" s="34">
        <f t="shared" si="68"/>
        <v>43.242130088037598</v>
      </c>
      <c r="AF74" s="37">
        <f t="shared" si="69"/>
        <v>-1.6683483163416457</v>
      </c>
      <c r="AG74" s="25">
        <f t="shared" si="70"/>
        <v>-0.83165168365835429</v>
      </c>
      <c r="AH74" s="25">
        <f t="shared" si="71"/>
        <v>0.83165168365835429</v>
      </c>
    </row>
    <row r="75" spans="1:37" x14ac:dyDescent="0.2">
      <c r="A75" s="62" t="s">
        <v>126</v>
      </c>
      <c r="B75" s="73">
        <v>65</v>
      </c>
      <c r="C75" s="73" t="s">
        <v>27</v>
      </c>
      <c r="D75" s="50" t="s">
        <v>1</v>
      </c>
      <c r="E75" s="50">
        <v>45.29</v>
      </c>
      <c r="F75" s="50">
        <v>45.41</v>
      </c>
      <c r="G75" s="50">
        <v>2.84</v>
      </c>
      <c r="H75" s="50">
        <v>22.2</v>
      </c>
      <c r="I75" s="50">
        <v>4.87</v>
      </c>
      <c r="J75" s="73" t="s">
        <v>7</v>
      </c>
      <c r="K75" s="73">
        <v>119.1</v>
      </c>
      <c r="L75" s="73">
        <v>23</v>
      </c>
      <c r="M75" s="73">
        <v>0</v>
      </c>
      <c r="N75" s="73">
        <v>-0.5</v>
      </c>
      <c r="O75" s="73">
        <f t="shared" si="49"/>
        <v>-0.25</v>
      </c>
      <c r="P75" s="33">
        <v>-3.5999999999999997E-2</v>
      </c>
      <c r="Q75" s="34">
        <v>0.31900000000000001</v>
      </c>
      <c r="R75" s="34">
        <v>0.17499999999999999</v>
      </c>
      <c r="S75" s="35">
        <f>G75</f>
        <v>2.84</v>
      </c>
      <c r="T75" s="35">
        <f>H75</f>
        <v>22.2</v>
      </c>
      <c r="U75" s="35">
        <f>((1.3375-1)/F75*1000)</f>
        <v>7.4322836379652042</v>
      </c>
      <c r="V75" s="35">
        <v>0</v>
      </c>
      <c r="W75" s="35">
        <f t="shared" si="60"/>
        <v>4.7549599999999996</v>
      </c>
      <c r="X75" s="35">
        <f t="shared" si="61"/>
        <v>44.60271111111112</v>
      </c>
      <c r="Y75" s="35">
        <f t="shared" si="62"/>
        <v>0</v>
      </c>
      <c r="Z75" s="35">
        <f t="shared" si="63"/>
        <v>76.583372695046847</v>
      </c>
      <c r="AA75" s="35">
        <f t="shared" si="64"/>
        <v>53.019289457069632</v>
      </c>
      <c r="AB75" s="36">
        <f t="shared" si="65"/>
        <v>23.564083237977215</v>
      </c>
      <c r="AC75" s="34">
        <f t="shared" si="66"/>
        <v>1248844.81088</v>
      </c>
      <c r="AD75" s="34">
        <f t="shared" si="67"/>
        <v>27751.339249836801</v>
      </c>
      <c r="AE75" s="34">
        <f t="shared" si="68"/>
        <v>45.001244791720964</v>
      </c>
      <c r="AF75" s="37">
        <f t="shared" si="69"/>
        <v>0.39663680310974075</v>
      </c>
      <c r="AG75" s="25">
        <f t="shared" si="70"/>
        <v>-0.6466368031097407</v>
      </c>
      <c r="AH75" s="25">
        <f t="shared" si="71"/>
        <v>0.6466368031097407</v>
      </c>
    </row>
    <row r="76" spans="1:37" x14ac:dyDescent="0.2">
      <c r="A76" s="62" t="s">
        <v>127</v>
      </c>
      <c r="B76" s="73">
        <v>77</v>
      </c>
      <c r="C76" s="73" t="s">
        <v>27</v>
      </c>
      <c r="D76" s="50" t="s">
        <v>1</v>
      </c>
      <c r="E76" s="50">
        <v>44.89</v>
      </c>
      <c r="F76" s="50">
        <v>45.28</v>
      </c>
      <c r="G76" s="50">
        <v>3.44</v>
      </c>
      <c r="H76" s="50">
        <v>23.85</v>
      </c>
      <c r="I76" s="50">
        <v>4.79</v>
      </c>
      <c r="J76" s="73" t="s">
        <v>30</v>
      </c>
      <c r="K76" s="73">
        <v>119.2</v>
      </c>
      <c r="L76" s="73">
        <v>19</v>
      </c>
      <c r="M76" s="73">
        <v>0.25</v>
      </c>
      <c r="N76" s="73">
        <v>0</v>
      </c>
      <c r="O76" s="73">
        <f t="shared" si="49"/>
        <v>0.25</v>
      </c>
      <c r="P76" s="33">
        <v>1.024</v>
      </c>
      <c r="Q76" s="34">
        <v>0.21240000000000001</v>
      </c>
      <c r="R76" s="34">
        <v>0.151</v>
      </c>
      <c r="S76" s="35">
        <f>G76</f>
        <v>3.44</v>
      </c>
      <c r="T76" s="35">
        <f>H76</f>
        <v>23.85</v>
      </c>
      <c r="U76" s="35">
        <f>((1.3375-1)/F76*1000)</f>
        <v>7.4536219081272055</v>
      </c>
      <c r="V76" s="35">
        <v>0</v>
      </c>
      <c r="W76" s="35">
        <f t="shared" si="60"/>
        <v>5.3560059999999998</v>
      </c>
      <c r="X76" s="35">
        <f t="shared" si="61"/>
        <v>44.475022222222243</v>
      </c>
      <c r="Y76" s="35">
        <f t="shared" si="62"/>
        <v>0</v>
      </c>
      <c r="Z76" s="35">
        <f t="shared" si="63"/>
        <v>72.239668727047274</v>
      </c>
      <c r="AA76" s="35">
        <f t="shared" si="64"/>
        <v>54.125604838643426</v>
      </c>
      <c r="AB76" s="36">
        <f t="shared" si="65"/>
        <v>18.114063888403848</v>
      </c>
      <c r="AC76" s="34">
        <f t="shared" si="66"/>
        <v>1315444.456304</v>
      </c>
      <c r="AD76" s="34">
        <f t="shared" si="67"/>
        <v>29981.575086268684</v>
      </c>
      <c r="AE76" s="34">
        <f t="shared" si="68"/>
        <v>43.875095038167721</v>
      </c>
      <c r="AF76" s="37">
        <f t="shared" si="69"/>
        <v>-0.60427745370881591</v>
      </c>
      <c r="AG76" s="25">
        <f t="shared" si="70"/>
        <v>0.85427745370881591</v>
      </c>
      <c r="AH76" s="25">
        <f t="shared" si="71"/>
        <v>0.85427745370881591</v>
      </c>
    </row>
    <row r="77" spans="1:37" x14ac:dyDescent="0.2">
      <c r="A77" s="62" t="s">
        <v>128</v>
      </c>
      <c r="B77" s="73">
        <v>60</v>
      </c>
      <c r="C77" s="73" t="s">
        <v>27</v>
      </c>
      <c r="D77" s="50" t="s">
        <v>0</v>
      </c>
      <c r="E77" s="50">
        <v>42.9</v>
      </c>
      <c r="F77" s="50">
        <v>42.69</v>
      </c>
      <c r="G77" s="50">
        <v>3.35</v>
      </c>
      <c r="H77" s="50">
        <v>23.9</v>
      </c>
      <c r="I77" s="50">
        <v>4.8099999999999996</v>
      </c>
      <c r="J77" s="73" t="s">
        <v>10</v>
      </c>
      <c r="K77" s="73">
        <v>119.2</v>
      </c>
      <c r="L77" s="73">
        <v>22</v>
      </c>
      <c r="M77" s="73">
        <v>0.25</v>
      </c>
      <c r="N77" s="73">
        <v>-1.25</v>
      </c>
      <c r="O77" s="73">
        <f t="shared" si="49"/>
        <v>-0.375</v>
      </c>
      <c r="P77" s="33">
        <v>1.024</v>
      </c>
      <c r="Q77" s="34">
        <v>0.21240000000000001</v>
      </c>
      <c r="R77" s="34">
        <v>0.151</v>
      </c>
      <c r="S77" s="35">
        <f>G77</f>
        <v>3.35</v>
      </c>
      <c r="T77" s="35">
        <f>H77</f>
        <v>23.9</v>
      </c>
      <c r="U77" s="35">
        <f>((1.3375-1)/F77*1000)</f>
        <v>7.9058327477160919</v>
      </c>
      <c r="V77" s="35">
        <v>0</v>
      </c>
      <c r="W77" s="35">
        <f t="shared" si="60"/>
        <v>5.3444399999999996</v>
      </c>
      <c r="X77" s="35">
        <f t="shared" si="61"/>
        <v>41.931066666666673</v>
      </c>
      <c r="Y77" s="35">
        <f t="shared" si="62"/>
        <v>0</v>
      </c>
      <c r="Z77" s="35">
        <f t="shared" si="63"/>
        <v>71.99998275449515</v>
      </c>
      <c r="AA77" s="35">
        <f t="shared" si="64"/>
        <v>50.382055783860558</v>
      </c>
      <c r="AB77" s="36">
        <f t="shared" si="65"/>
        <v>21.617926970634592</v>
      </c>
      <c r="AC77" s="34">
        <f t="shared" si="66"/>
        <v>1239510.9804800001</v>
      </c>
      <c r="AD77" s="34">
        <f t="shared" si="67"/>
        <v>29748.680304099198</v>
      </c>
      <c r="AE77" s="34">
        <f t="shared" si="68"/>
        <v>41.666082925675283</v>
      </c>
      <c r="AF77" s="37">
        <f t="shared" si="69"/>
        <v>-0.26582902542685044</v>
      </c>
      <c r="AG77" s="25">
        <f t="shared" si="70"/>
        <v>-0.10917097457314956</v>
      </c>
      <c r="AH77" s="25">
        <f t="shared" si="71"/>
        <v>0.10917097457314956</v>
      </c>
    </row>
    <row r="78" spans="1:37" x14ac:dyDescent="0.2">
      <c r="A78" s="62" t="s">
        <v>129</v>
      </c>
      <c r="B78" s="73">
        <v>67</v>
      </c>
      <c r="C78" s="73" t="s">
        <v>27</v>
      </c>
      <c r="D78" s="50" t="s">
        <v>0</v>
      </c>
      <c r="E78" s="50">
        <v>46.26</v>
      </c>
      <c r="F78" s="50">
        <v>46.57</v>
      </c>
      <c r="G78" s="50">
        <v>3.58</v>
      </c>
      <c r="H78" s="50">
        <v>23.92</v>
      </c>
      <c r="I78" s="50">
        <v>4.16</v>
      </c>
      <c r="J78" s="73" t="s">
        <v>30</v>
      </c>
      <c r="K78" s="73">
        <v>119.2</v>
      </c>
      <c r="L78" s="73">
        <v>20</v>
      </c>
      <c r="M78" s="73">
        <v>-2.75</v>
      </c>
      <c r="N78" s="73">
        <v>-0.25</v>
      </c>
      <c r="O78" s="73">
        <f t="shared" si="49"/>
        <v>-2.875</v>
      </c>
      <c r="P78" s="33">
        <v>1.024</v>
      </c>
      <c r="Q78" s="34">
        <v>0.21240000000000001</v>
      </c>
      <c r="R78" s="34">
        <v>0.151</v>
      </c>
      <c r="S78" s="35">
        <f>G78</f>
        <v>3.58</v>
      </c>
      <c r="T78" s="35">
        <f>H78</f>
        <v>23.92</v>
      </c>
      <c r="U78" s="35">
        <f>((1.3375-1)/F78*1000)</f>
        <v>7.24715482070002</v>
      </c>
      <c r="V78" s="35">
        <v>0</v>
      </c>
      <c r="W78" s="35">
        <f t="shared" si="60"/>
        <v>5.396312</v>
      </c>
      <c r="X78" s="35">
        <f t="shared" si="61"/>
        <v>45.742088888888901</v>
      </c>
      <c r="Y78" s="35">
        <f t="shared" si="62"/>
        <v>0</v>
      </c>
      <c r="Z78" s="35">
        <f t="shared" si="63"/>
        <v>72.123866478424816</v>
      </c>
      <c r="AA78" s="35">
        <f t="shared" si="64"/>
        <v>56.108699602825425</v>
      </c>
      <c r="AB78" s="36">
        <f t="shared" si="65"/>
        <v>16.015166875599391</v>
      </c>
      <c r="AC78" s="34">
        <f t="shared" si="66"/>
        <v>1289943.0566400001</v>
      </c>
      <c r="AD78" s="34">
        <f t="shared" si="67"/>
        <v>29957.92800322688</v>
      </c>
      <c r="AE78" s="34">
        <f t="shared" si="68"/>
        <v>43.058487105685529</v>
      </c>
      <c r="AF78" s="37">
        <f t="shared" si="69"/>
        <v>-2.7728980324579138</v>
      </c>
      <c r="AG78" s="25">
        <f t="shared" si="70"/>
        <v>-0.10210196754208622</v>
      </c>
      <c r="AH78" s="25">
        <f t="shared" si="71"/>
        <v>0.10210196754208622</v>
      </c>
    </row>
    <row r="79" spans="1:37" x14ac:dyDescent="0.2">
      <c r="A79" s="62" t="s">
        <v>130</v>
      </c>
      <c r="B79" s="73">
        <v>60</v>
      </c>
      <c r="C79" s="73" t="s">
        <v>27</v>
      </c>
      <c r="D79" s="50" t="s">
        <v>0</v>
      </c>
      <c r="E79" s="50">
        <v>42.9</v>
      </c>
      <c r="F79" s="50">
        <v>42.69</v>
      </c>
      <c r="G79" s="50">
        <v>3.35</v>
      </c>
      <c r="H79" s="50">
        <v>23.9</v>
      </c>
      <c r="I79" s="50">
        <v>4.8099999999999996</v>
      </c>
      <c r="J79" s="73" t="s">
        <v>10</v>
      </c>
      <c r="K79" s="73">
        <v>119.2</v>
      </c>
      <c r="L79" s="73">
        <v>22</v>
      </c>
      <c r="M79" s="73">
        <f>0.25</f>
        <v>0.25</v>
      </c>
      <c r="N79" s="73">
        <v>-1.25</v>
      </c>
      <c r="O79" s="73">
        <f t="shared" si="49"/>
        <v>-0.375</v>
      </c>
      <c r="P79" s="33">
        <v>1.024</v>
      </c>
      <c r="Q79" s="34">
        <v>0.21240000000000001</v>
      </c>
      <c r="R79" s="34">
        <v>0.151</v>
      </c>
      <c r="S79" s="35">
        <f>G79</f>
        <v>3.35</v>
      </c>
      <c r="T79" s="35">
        <f>H79</f>
        <v>23.9</v>
      </c>
      <c r="U79" s="35">
        <f>((1.3375-1)/F79*1000)</f>
        <v>7.9058327477160919</v>
      </c>
      <c r="V79" s="35">
        <v>0</v>
      </c>
      <c r="W79" s="35">
        <f t="shared" si="60"/>
        <v>5.3444399999999996</v>
      </c>
      <c r="X79" s="35">
        <f t="shared" si="61"/>
        <v>41.931066666666673</v>
      </c>
      <c r="Y79" s="35">
        <f t="shared" si="62"/>
        <v>0</v>
      </c>
      <c r="Z79" s="35">
        <f t="shared" si="63"/>
        <v>71.99998275449515</v>
      </c>
      <c r="AA79" s="35">
        <f t="shared" si="64"/>
        <v>50.382055783860558</v>
      </c>
      <c r="AB79" s="36">
        <f t="shared" si="65"/>
        <v>21.617926970634592</v>
      </c>
      <c r="AC79" s="34">
        <f t="shared" si="66"/>
        <v>1239510.9804800001</v>
      </c>
      <c r="AD79" s="34">
        <f t="shared" si="67"/>
        <v>29748.680304099198</v>
      </c>
      <c r="AE79" s="34">
        <f t="shared" si="68"/>
        <v>41.666082925675283</v>
      </c>
      <c r="AF79" s="37">
        <f t="shared" si="69"/>
        <v>-0.26582902542685044</v>
      </c>
      <c r="AG79" s="25">
        <f t="shared" si="70"/>
        <v>-0.10917097457314956</v>
      </c>
      <c r="AH79" s="25">
        <f t="shared" si="71"/>
        <v>0.10917097457314956</v>
      </c>
    </row>
    <row r="80" spans="1:37" x14ac:dyDescent="0.2">
      <c r="A80" s="62" t="s">
        <v>131</v>
      </c>
      <c r="B80" s="73">
        <v>63</v>
      </c>
      <c r="C80" s="73" t="s">
        <v>27</v>
      </c>
      <c r="D80" s="50" t="s">
        <v>1</v>
      </c>
      <c r="E80" s="50">
        <v>45.43</v>
      </c>
      <c r="F80" s="50">
        <v>45.77</v>
      </c>
      <c r="G80" s="50">
        <v>3</v>
      </c>
      <c r="H80" s="50">
        <v>23.72</v>
      </c>
      <c r="I80" s="50">
        <v>4.8</v>
      </c>
      <c r="J80" s="73" t="s">
        <v>40</v>
      </c>
      <c r="K80" s="73">
        <v>119.2</v>
      </c>
      <c r="L80" s="73">
        <v>21</v>
      </c>
      <c r="M80" s="73">
        <v>-2</v>
      </c>
      <c r="N80" s="73">
        <v>-0.75</v>
      </c>
      <c r="O80" s="73">
        <f t="shared" si="49"/>
        <v>-2.375</v>
      </c>
      <c r="P80" s="33">
        <v>1.024</v>
      </c>
      <c r="Q80" s="34">
        <v>0.21240000000000001</v>
      </c>
      <c r="R80" s="34">
        <v>0.151</v>
      </c>
      <c r="S80" s="35">
        <f>G80</f>
        <v>3</v>
      </c>
      <c r="T80" s="35">
        <f>H80</f>
        <v>23.72</v>
      </c>
      <c r="U80" s="35">
        <f>((1.3375-1)/F80*1000)</f>
        <v>7.3738256499890733</v>
      </c>
      <c r="V80" s="35">
        <v>0</v>
      </c>
      <c r="W80" s="35">
        <f t="shared" si="60"/>
        <v>5.2429199999999998</v>
      </c>
      <c r="X80" s="35">
        <f t="shared" si="61"/>
        <v>44.956311111111127</v>
      </c>
      <c r="Y80" s="35">
        <f t="shared" si="62"/>
        <v>0</v>
      </c>
      <c r="Z80" s="35">
        <f t="shared" si="63"/>
        <v>72.305797236359851</v>
      </c>
      <c r="AA80" s="35">
        <f t="shared" si="64"/>
        <v>54.586712280325713</v>
      </c>
      <c r="AB80" s="36">
        <f t="shared" si="65"/>
        <v>17.719084956034138</v>
      </c>
      <c r="AC80" s="34">
        <f t="shared" si="66"/>
        <v>1266503.0435200001</v>
      </c>
      <c r="AD80" s="34">
        <f t="shared" si="67"/>
        <v>29655.569102254398</v>
      </c>
      <c r="AE80" s="34">
        <f t="shared" si="68"/>
        <v>42.707089489768762</v>
      </c>
      <c r="AF80" s="37">
        <f t="shared" si="69"/>
        <v>-2.3116135967256977</v>
      </c>
      <c r="AG80" s="25">
        <f t="shared" si="70"/>
        <v>-6.3386403274302339E-2</v>
      </c>
      <c r="AH80" s="25">
        <f t="shared" si="71"/>
        <v>6.3386403274302339E-2</v>
      </c>
    </row>
    <row r="81" spans="1:34" x14ac:dyDescent="0.2">
      <c r="A81" s="62" t="s">
        <v>132</v>
      </c>
      <c r="B81" s="73">
        <v>53</v>
      </c>
      <c r="C81" s="73" t="s">
        <v>27</v>
      </c>
      <c r="D81" s="50" t="s">
        <v>0</v>
      </c>
      <c r="E81" s="50">
        <v>45.26</v>
      </c>
      <c r="F81" s="50">
        <v>45.63</v>
      </c>
      <c r="G81" s="50">
        <v>3.03</v>
      </c>
      <c r="H81" s="50">
        <v>21.79</v>
      </c>
      <c r="I81" s="50">
        <v>4.71</v>
      </c>
      <c r="J81" s="73" t="s">
        <v>31</v>
      </c>
      <c r="K81" s="73">
        <v>119.2</v>
      </c>
      <c r="L81" s="73">
        <v>25</v>
      </c>
      <c r="M81" s="73">
        <v>0</v>
      </c>
      <c r="N81" s="73">
        <v>-1</v>
      </c>
      <c r="O81" s="73">
        <f t="shared" si="49"/>
        <v>-0.5</v>
      </c>
      <c r="P81" s="33">
        <v>1.024</v>
      </c>
      <c r="Q81" s="34">
        <v>0.21240000000000001</v>
      </c>
      <c r="R81" s="34">
        <v>0.151</v>
      </c>
      <c r="S81" s="35">
        <f>G81</f>
        <v>3.03</v>
      </c>
      <c r="T81" s="35">
        <f>H81</f>
        <v>21.79</v>
      </c>
      <c r="U81" s="35">
        <f>((1.3375-1)/F81*1000)</f>
        <v>7.3964497041420101</v>
      </c>
      <c r="V81" s="35">
        <v>0</v>
      </c>
      <c r="W81" s="35">
        <f t="shared" si="60"/>
        <v>4.9578619999999995</v>
      </c>
      <c r="X81" s="35">
        <f t="shared" si="61"/>
        <v>44.81880000000001</v>
      </c>
      <c r="Y81" s="35">
        <f t="shared" si="62"/>
        <v>0</v>
      </c>
      <c r="Z81" s="35">
        <f t="shared" si="63"/>
        <v>79.371972829595379</v>
      </c>
      <c r="AA81" s="35">
        <f t="shared" si="64"/>
        <v>53.76028772792791</v>
      </c>
      <c r="AB81" s="36">
        <f t="shared" si="65"/>
        <v>25.611685101667469</v>
      </c>
      <c r="AC81" s="34">
        <f t="shared" si="66"/>
        <v>1222702.5907999999</v>
      </c>
      <c r="AD81" s="34">
        <f t="shared" si="67"/>
        <v>27025.154565776102</v>
      </c>
      <c r="AE81" s="34">
        <f t="shared" si="68"/>
        <v>45.243130351912811</v>
      </c>
      <c r="AF81" s="37">
        <f t="shared" si="69"/>
        <v>0.4221806232834171</v>
      </c>
      <c r="AG81" s="25">
        <f t="shared" si="70"/>
        <v>-0.9221806232834171</v>
      </c>
      <c r="AH81" s="25">
        <f t="shared" si="71"/>
        <v>0.9221806232834171</v>
      </c>
    </row>
    <row r="82" spans="1:34" x14ac:dyDescent="0.2">
      <c r="A82" s="62" t="s">
        <v>133</v>
      </c>
      <c r="B82" s="73">
        <v>75</v>
      </c>
      <c r="C82" s="73" t="s">
        <v>28</v>
      </c>
      <c r="D82" s="50" t="s">
        <v>0</v>
      </c>
      <c r="E82" s="50">
        <v>47.25</v>
      </c>
      <c r="F82" s="50">
        <v>47.72</v>
      </c>
      <c r="G82" s="50">
        <v>2.61</v>
      </c>
      <c r="H82" s="50">
        <v>22.09</v>
      </c>
      <c r="I82" s="50">
        <v>5.24</v>
      </c>
      <c r="J82" s="73" t="s">
        <v>31</v>
      </c>
      <c r="K82" s="73">
        <v>119.2</v>
      </c>
      <c r="L82" s="73">
        <v>22</v>
      </c>
      <c r="M82" s="73">
        <v>-0.25</v>
      </c>
      <c r="N82" s="73">
        <v>0</v>
      </c>
      <c r="O82" s="73">
        <f t="shared" si="49"/>
        <v>-0.25</v>
      </c>
      <c r="P82" s="33">
        <v>1.024</v>
      </c>
      <c r="Q82" s="34">
        <v>0.21240000000000001</v>
      </c>
      <c r="R82" s="34">
        <v>0.151</v>
      </c>
      <c r="S82" s="35">
        <f>G82</f>
        <v>2.61</v>
      </c>
      <c r="T82" s="35">
        <f>H82</f>
        <v>22.09</v>
      </c>
      <c r="U82" s="35">
        <f>((1.3375-1)/F82*1000)</f>
        <v>7.0725062866722528</v>
      </c>
      <c r="V82" s="35">
        <v>0</v>
      </c>
      <c r="W82" s="35">
        <f t="shared" si="60"/>
        <v>4.9139540000000004</v>
      </c>
      <c r="X82" s="35">
        <f t="shared" si="61"/>
        <v>46.871644444444456</v>
      </c>
      <c r="Y82" s="35">
        <f t="shared" si="62"/>
        <v>0</v>
      </c>
      <c r="Z82" s="35">
        <f t="shared" si="63"/>
        <v>77.782744643324776</v>
      </c>
      <c r="AA82" s="35">
        <f t="shared" si="64"/>
        <v>56.635560094754439</v>
      </c>
      <c r="AB82" s="36">
        <f t="shared" si="65"/>
        <v>21.147184548570337</v>
      </c>
      <c r="AC82" s="34">
        <f t="shared" si="66"/>
        <v>1280057.6559679999</v>
      </c>
      <c r="AD82" s="34">
        <f t="shared" si="67"/>
        <v>27655.38940119055</v>
      </c>
      <c r="AE82" s="34">
        <f t="shared" si="68"/>
        <v>46.28601092533863</v>
      </c>
      <c r="AF82" s="37">
        <f t="shared" si="69"/>
        <v>-0.58977824602234796</v>
      </c>
      <c r="AG82" s="25">
        <f t="shared" si="70"/>
        <v>0.33977824602234796</v>
      </c>
      <c r="AH82" s="25">
        <f t="shared" si="71"/>
        <v>0.33977824602234796</v>
      </c>
    </row>
    <row r="83" spans="1:34" x14ac:dyDescent="0.2">
      <c r="A83" s="62" t="s">
        <v>134</v>
      </c>
      <c r="B83" s="73">
        <v>72</v>
      </c>
      <c r="C83" s="73" t="s">
        <v>27</v>
      </c>
      <c r="D83" s="50" t="s">
        <v>0</v>
      </c>
      <c r="E83" s="50">
        <v>46.89</v>
      </c>
      <c r="F83" s="50">
        <v>47.37</v>
      </c>
      <c r="G83" s="50">
        <v>2.5299999999999998</v>
      </c>
      <c r="H83" s="50">
        <v>21.72</v>
      </c>
      <c r="I83" s="50">
        <v>4.8499999999999996</v>
      </c>
      <c r="J83" s="73" t="s">
        <v>60</v>
      </c>
      <c r="K83" s="73">
        <v>119.1</v>
      </c>
      <c r="L83" s="73">
        <v>23.5</v>
      </c>
      <c r="M83" s="73">
        <v>0</v>
      </c>
      <c r="N83" s="73">
        <v>-1</v>
      </c>
      <c r="O83" s="73">
        <f t="shared" si="49"/>
        <v>-0.5</v>
      </c>
      <c r="P83" s="33">
        <v>-0.39900000000000002</v>
      </c>
      <c r="Q83" s="34">
        <v>0.20899999999999999</v>
      </c>
      <c r="R83" s="34">
        <v>0.21099999999999999</v>
      </c>
      <c r="S83" s="35">
        <f>G83</f>
        <v>2.5299999999999998</v>
      </c>
      <c r="T83" s="35">
        <f>H83</f>
        <v>21.72</v>
      </c>
      <c r="U83" s="35">
        <f>((1.3375-1)/F83*1000)</f>
        <v>7.124762507916401</v>
      </c>
      <c r="V83" s="35">
        <v>0</v>
      </c>
      <c r="W83" s="35">
        <f t="shared" si="60"/>
        <v>4.7126899999999994</v>
      </c>
      <c r="X83" s="35">
        <f t="shared" si="61"/>
        <v>46.527866666666675</v>
      </c>
      <c r="Y83" s="35">
        <f t="shared" si="62"/>
        <v>0</v>
      </c>
      <c r="Z83" s="35">
        <f t="shared" si="63"/>
        <v>78.554456877660257</v>
      </c>
      <c r="AA83" s="35">
        <f t="shared" si="64"/>
        <v>55.663686353585447</v>
      </c>
      <c r="AB83" s="36">
        <f t="shared" si="65"/>
        <v>22.89077052407481</v>
      </c>
      <c r="AC83" s="34">
        <f t="shared" si="66"/>
        <v>1250934.4952400001</v>
      </c>
      <c r="AD83" s="34">
        <f t="shared" si="67"/>
        <v>27134.390775548349</v>
      </c>
      <c r="AE83" s="34">
        <f t="shared" si="68"/>
        <v>46.101440256667061</v>
      </c>
      <c r="AF83" s="37">
        <f t="shared" si="69"/>
        <v>-0.42861970715534209</v>
      </c>
      <c r="AG83" s="25">
        <f t="shared" si="70"/>
        <v>-7.1380292844657911E-2</v>
      </c>
      <c r="AH83" s="25">
        <f t="shared" si="71"/>
        <v>7.1380292844657911E-2</v>
      </c>
    </row>
    <row r="84" spans="1:34" x14ac:dyDescent="0.2">
      <c r="A84" s="62" t="s">
        <v>135</v>
      </c>
      <c r="B84" s="73">
        <v>79</v>
      </c>
      <c r="C84" s="73" t="s">
        <v>27</v>
      </c>
      <c r="D84" s="50" t="s">
        <v>0</v>
      </c>
      <c r="E84" s="50">
        <v>48.17</v>
      </c>
      <c r="F84" s="50">
        <v>48.74</v>
      </c>
      <c r="G84" s="50">
        <v>2.86</v>
      </c>
      <c r="H84" s="50">
        <v>22.41</v>
      </c>
      <c r="I84" s="50">
        <v>4.9400000000000004</v>
      </c>
      <c r="J84" s="73" t="s">
        <v>60</v>
      </c>
      <c r="K84" s="73">
        <v>119.1</v>
      </c>
      <c r="L84" s="73">
        <v>19</v>
      </c>
      <c r="M84" s="73">
        <v>0.5</v>
      </c>
      <c r="N84" s="73">
        <v>-1.25</v>
      </c>
      <c r="O84" s="73">
        <f t="shared" si="49"/>
        <v>-0.125</v>
      </c>
      <c r="P84" s="33">
        <v>-0.39900000000000002</v>
      </c>
      <c r="Q84" s="34">
        <v>0.20899999999999999</v>
      </c>
      <c r="R84" s="34">
        <v>0.21099999999999999</v>
      </c>
      <c r="S84" s="35">
        <f>G84</f>
        <v>2.86</v>
      </c>
      <c r="T84" s="35">
        <f>H84</f>
        <v>22.41</v>
      </c>
      <c r="U84" s="35">
        <f>((1.3375-1)/F84*1000)</f>
        <v>6.9244973327862107</v>
      </c>
      <c r="V84" s="35">
        <v>0</v>
      </c>
      <c r="W84" s="35">
        <f t="shared" si="60"/>
        <v>4.9272499999999999</v>
      </c>
      <c r="X84" s="35">
        <f t="shared" si="61"/>
        <v>47.873511111111121</v>
      </c>
      <c r="Y84" s="35">
        <f t="shared" si="62"/>
        <v>0</v>
      </c>
      <c r="Z84" s="35">
        <f t="shared" si="63"/>
        <v>76.418183638157615</v>
      </c>
      <c r="AA84" s="35">
        <f t="shared" si="64"/>
        <v>58.138464390516134</v>
      </c>
      <c r="AB84" s="36">
        <f t="shared" si="65"/>
        <v>18.279719247641481</v>
      </c>
      <c r="AC84" s="34">
        <f t="shared" si="66"/>
        <v>1341113.8740000001</v>
      </c>
      <c r="AD84" s="34">
        <f t="shared" si="67"/>
        <v>28303.064281187497</v>
      </c>
      <c r="AE84" s="34">
        <f t="shared" si="68"/>
        <v>47.384052153370995</v>
      </c>
      <c r="AF84" s="37">
        <f t="shared" si="69"/>
        <v>-0.4923507837576529</v>
      </c>
      <c r="AG84" s="25">
        <f t="shared" si="70"/>
        <v>0.3673507837576529</v>
      </c>
      <c r="AH84" s="25">
        <f t="shared" si="71"/>
        <v>0.3673507837576529</v>
      </c>
    </row>
    <row r="85" spans="1:34" x14ac:dyDescent="0.2">
      <c r="A85" s="62" t="s">
        <v>136</v>
      </c>
      <c r="B85" s="73">
        <v>69</v>
      </c>
      <c r="C85" s="73" t="s">
        <v>27</v>
      </c>
      <c r="D85" s="50" t="s">
        <v>1</v>
      </c>
      <c r="E85" s="50">
        <v>47.17</v>
      </c>
      <c r="F85" s="50">
        <v>47.76</v>
      </c>
      <c r="G85" s="50">
        <v>2.65</v>
      </c>
      <c r="H85" s="50">
        <v>21.82</v>
      </c>
      <c r="I85" s="50">
        <v>4.2300000000000004</v>
      </c>
      <c r="J85" s="73" t="s">
        <v>60</v>
      </c>
      <c r="K85" s="73">
        <v>119.1</v>
      </c>
      <c r="L85" s="73">
        <v>25.5</v>
      </c>
      <c r="M85" s="73">
        <v>-1.75</v>
      </c>
      <c r="N85" s="73">
        <v>-0.5</v>
      </c>
      <c r="O85" s="73">
        <f t="shared" si="49"/>
        <v>-2</v>
      </c>
      <c r="P85" s="33">
        <v>-0.39900000000000002</v>
      </c>
      <c r="Q85" s="34">
        <v>0.20899999999999999</v>
      </c>
      <c r="R85" s="34">
        <v>0.21099999999999999</v>
      </c>
      <c r="S85" s="35">
        <f>G85</f>
        <v>2.65</v>
      </c>
      <c r="T85" s="35">
        <f>H85</f>
        <v>21.82</v>
      </c>
      <c r="U85" s="35">
        <f>((1.3375-1)/F85*1000)</f>
        <v>7.0665829145728631</v>
      </c>
      <c r="V85" s="35">
        <v>0</v>
      </c>
      <c r="W85" s="35">
        <f t="shared" si="60"/>
        <v>4.7588699999999999</v>
      </c>
      <c r="X85" s="35">
        <f t="shared" si="61"/>
        <v>46.91093333333334</v>
      </c>
      <c r="Y85" s="35">
        <f t="shared" si="62"/>
        <v>0</v>
      </c>
      <c r="Z85" s="35">
        <f t="shared" si="63"/>
        <v>78.306653779673454</v>
      </c>
      <c r="AA85" s="35">
        <f t="shared" si="64"/>
        <v>56.322277738572815</v>
      </c>
      <c r="AB85" s="36">
        <f t="shared" si="65"/>
        <v>21.984376041100639</v>
      </c>
      <c r="AC85" s="34">
        <f t="shared" si="66"/>
        <v>1203657.42316</v>
      </c>
      <c r="AD85" s="34">
        <f t="shared" si="67"/>
        <v>27081.131657060949</v>
      </c>
      <c r="AE85" s="34">
        <f t="shared" si="68"/>
        <v>44.446348786394481</v>
      </c>
      <c r="AF85" s="37">
        <f t="shared" si="69"/>
        <v>-2.5396960959632424</v>
      </c>
      <c r="AG85" s="25">
        <f t="shared" si="70"/>
        <v>0.53969609596324242</v>
      </c>
      <c r="AH85" s="25">
        <f t="shared" si="71"/>
        <v>0.53969609596324242</v>
      </c>
    </row>
    <row r="86" spans="1:34" x14ac:dyDescent="0.2">
      <c r="A86" s="62" t="s">
        <v>137</v>
      </c>
      <c r="B86" s="73">
        <v>66</v>
      </c>
      <c r="C86" s="73" t="s">
        <v>27</v>
      </c>
      <c r="D86" s="50" t="s">
        <v>0</v>
      </c>
      <c r="E86" s="50">
        <v>42.72</v>
      </c>
      <c r="F86" s="50">
        <v>42.9</v>
      </c>
      <c r="G86" s="50">
        <v>2.79</v>
      </c>
      <c r="H86" s="50">
        <v>23.64</v>
      </c>
      <c r="I86" s="50">
        <v>5.0199999999999996</v>
      </c>
      <c r="J86" s="73" t="s">
        <v>6</v>
      </c>
      <c r="K86" s="73">
        <v>119</v>
      </c>
      <c r="L86" s="73">
        <v>22.5</v>
      </c>
      <c r="M86" s="73">
        <v>-0.5</v>
      </c>
      <c r="N86" s="73">
        <v>0</v>
      </c>
      <c r="O86" s="73">
        <f t="shared" si="49"/>
        <v>-0.5</v>
      </c>
      <c r="P86" s="33">
        <v>-0.76900000000000002</v>
      </c>
      <c r="Q86" s="34">
        <v>0.23400000000000001</v>
      </c>
      <c r="R86" s="34">
        <v>0.217</v>
      </c>
      <c r="S86" s="35">
        <f>G86</f>
        <v>2.79</v>
      </c>
      <c r="T86" s="35">
        <f>H86</f>
        <v>23.64</v>
      </c>
      <c r="U86" s="35">
        <f>((1.3375-1)/F86*1000)</f>
        <v>7.8671328671328657</v>
      </c>
      <c r="V86" s="35">
        <v>0</v>
      </c>
      <c r="W86" s="35">
        <f t="shared" si="60"/>
        <v>5.0137400000000003</v>
      </c>
      <c r="X86" s="35">
        <f t="shared" si="61"/>
        <v>42.137333333333338</v>
      </c>
      <c r="Y86" s="35">
        <f t="shared" si="62"/>
        <v>0</v>
      </c>
      <c r="Z86" s="35">
        <f t="shared" si="63"/>
        <v>71.72669124129051</v>
      </c>
      <c r="AA86" s="35">
        <f t="shared" si="64"/>
        <v>50.052242570711286</v>
      </c>
      <c r="AB86" s="36">
        <f t="shared" si="65"/>
        <v>21.674448670579224</v>
      </c>
      <c r="AC86" s="34">
        <f t="shared" si="66"/>
        <v>1224990.6243999999</v>
      </c>
      <c r="AD86" s="34">
        <f t="shared" si="67"/>
        <v>29481.827441721005</v>
      </c>
      <c r="AE86" s="34">
        <f t="shared" si="68"/>
        <v>41.550701930588701</v>
      </c>
      <c r="AF86" s="37">
        <f t="shared" si="69"/>
        <v>-0.59079031657028735</v>
      </c>
      <c r="AG86" s="25">
        <f t="shared" si="70"/>
        <v>9.0790316570287355E-2</v>
      </c>
      <c r="AH86" s="25">
        <f t="shared" si="71"/>
        <v>9.0790316570287355E-2</v>
      </c>
    </row>
    <row r="87" spans="1:34" x14ac:dyDescent="0.2">
      <c r="A87" s="62" t="s">
        <v>138</v>
      </c>
      <c r="B87" s="73">
        <v>71</v>
      </c>
      <c r="C87" s="73" t="s">
        <v>28</v>
      </c>
      <c r="D87" s="50" t="s">
        <v>1</v>
      </c>
      <c r="E87" s="50">
        <v>45.33</v>
      </c>
      <c r="F87" s="50">
        <v>45.51</v>
      </c>
      <c r="G87" s="50">
        <v>2.94</v>
      </c>
      <c r="H87" s="50">
        <v>21.97</v>
      </c>
      <c r="I87" s="50">
        <v>4.4800000000000004</v>
      </c>
      <c r="J87" s="73" t="s">
        <v>65</v>
      </c>
      <c r="K87" s="73">
        <v>119.2</v>
      </c>
      <c r="L87" s="73">
        <v>24.5</v>
      </c>
      <c r="M87" s="73">
        <v>0</v>
      </c>
      <c r="N87" s="73">
        <v>0</v>
      </c>
      <c r="O87" s="73">
        <f t="shared" si="49"/>
        <v>0</v>
      </c>
      <c r="P87" s="33">
        <v>1.024</v>
      </c>
      <c r="Q87" s="34">
        <v>0.21240000000000001</v>
      </c>
      <c r="R87" s="34">
        <v>0.151</v>
      </c>
      <c r="S87" s="35">
        <f>G87</f>
        <v>2.94</v>
      </c>
      <c r="T87" s="35">
        <f>H87</f>
        <v>21.97</v>
      </c>
      <c r="U87" s="35">
        <f>((1.3375-1)/F87*1000)</f>
        <v>7.4159525379037561</v>
      </c>
      <c r="V87" s="35">
        <v>0</v>
      </c>
      <c r="W87" s="35">
        <f t="shared" si="60"/>
        <v>4.9659259999999996</v>
      </c>
      <c r="X87" s="35">
        <f t="shared" si="61"/>
        <v>44.700933333333339</v>
      </c>
      <c r="Y87" s="35">
        <f t="shared" si="62"/>
        <v>0</v>
      </c>
      <c r="Z87" s="35">
        <f t="shared" si="63"/>
        <v>78.569406366968295</v>
      </c>
      <c r="AA87" s="35">
        <f t="shared" si="64"/>
        <v>53.608129832851127</v>
      </c>
      <c r="AB87" s="36">
        <f t="shared" si="65"/>
        <v>24.961276534117168</v>
      </c>
      <c r="AC87" s="34">
        <f t="shared" si="66"/>
        <v>1228318.649832</v>
      </c>
      <c r="AD87" s="34">
        <f t="shared" si="67"/>
        <v>27283.116157028162</v>
      </c>
      <c r="AE87" s="34">
        <f t="shared" si="68"/>
        <v>45.021200758828414</v>
      </c>
      <c r="AF87" s="37">
        <f t="shared" si="69"/>
        <v>0.31904128313057656</v>
      </c>
      <c r="AG87" s="25">
        <f t="shared" si="70"/>
        <v>-0.31904128313057656</v>
      </c>
      <c r="AH87" s="25">
        <f t="shared" si="71"/>
        <v>0.31904128313057656</v>
      </c>
    </row>
    <row r="88" spans="1:34" x14ac:dyDescent="0.2">
      <c r="A88" s="62" t="s">
        <v>139</v>
      </c>
      <c r="B88" s="73">
        <v>66</v>
      </c>
      <c r="C88" s="73" t="s">
        <v>27</v>
      </c>
      <c r="D88" s="50" t="s">
        <v>0</v>
      </c>
      <c r="E88" s="50">
        <v>46.62</v>
      </c>
      <c r="F88" s="50">
        <v>47.12</v>
      </c>
      <c r="G88" s="50">
        <v>2.61</v>
      </c>
      <c r="H88" s="50">
        <v>22.94</v>
      </c>
      <c r="I88" s="50">
        <v>4.96</v>
      </c>
      <c r="J88" s="73" t="s">
        <v>6</v>
      </c>
      <c r="K88" s="73">
        <v>119</v>
      </c>
      <c r="L88" s="73">
        <v>21.5</v>
      </c>
      <c r="M88" s="73">
        <v>-2.5</v>
      </c>
      <c r="N88" s="73">
        <v>-1</v>
      </c>
      <c r="O88" s="73">
        <f t="shared" si="49"/>
        <v>-3</v>
      </c>
      <c r="P88" s="33">
        <v>-0.76900000000000002</v>
      </c>
      <c r="Q88" s="34">
        <v>0.23400000000000001</v>
      </c>
      <c r="R88" s="34">
        <v>0.217</v>
      </c>
      <c r="S88" s="35">
        <f>G88</f>
        <v>2.61</v>
      </c>
      <c r="T88" s="35">
        <f>H88</f>
        <v>22.94</v>
      </c>
      <c r="U88" s="35">
        <f>((1.3375-1)/F88*1000)</f>
        <v>7.1625636672325959</v>
      </c>
      <c r="V88" s="35">
        <v>0</v>
      </c>
      <c r="W88" s="35">
        <f t="shared" si="60"/>
        <v>4.8197200000000002</v>
      </c>
      <c r="X88" s="35">
        <f t="shared" si="61"/>
        <v>46.28231111111112</v>
      </c>
      <c r="Y88" s="35">
        <f t="shared" si="62"/>
        <v>0</v>
      </c>
      <c r="Z88" s="35">
        <f t="shared" si="63"/>
        <v>73.729545018068151</v>
      </c>
      <c r="AA88" s="35">
        <f t="shared" si="64"/>
        <v>55.558790159469929</v>
      </c>
      <c r="AB88" s="36">
        <f t="shared" si="65"/>
        <v>18.170754858598222</v>
      </c>
      <c r="AC88" s="34">
        <f t="shared" si="66"/>
        <v>1264409.0772800001</v>
      </c>
      <c r="AD88" s="34">
        <f t="shared" si="67"/>
        <v>28770.144467685601</v>
      </c>
      <c r="AE88" s="34">
        <f t="shared" si="68"/>
        <v>43.948652350361826</v>
      </c>
      <c r="AF88" s="37">
        <f t="shared" si="69"/>
        <v>-2.4008931445953898</v>
      </c>
      <c r="AG88" s="25">
        <f t="shared" si="70"/>
        <v>-0.59910685540461017</v>
      </c>
      <c r="AH88" s="25">
        <f t="shared" si="71"/>
        <v>0.59910685540461017</v>
      </c>
    </row>
    <row r="89" spans="1:34" x14ac:dyDescent="0.2">
      <c r="A89" s="62" t="s">
        <v>140</v>
      </c>
      <c r="B89" s="73">
        <v>60</v>
      </c>
      <c r="C89" s="73" t="s">
        <v>27</v>
      </c>
      <c r="D89" s="50" t="s">
        <v>1</v>
      </c>
      <c r="E89" s="50">
        <v>42.78</v>
      </c>
      <c r="F89" s="50">
        <v>42.99</v>
      </c>
      <c r="G89" s="50">
        <v>3</v>
      </c>
      <c r="H89" s="50">
        <v>22.7</v>
      </c>
      <c r="I89" s="50">
        <v>4.25</v>
      </c>
      <c r="J89" s="73" t="s">
        <v>6</v>
      </c>
      <c r="K89" s="73">
        <v>119</v>
      </c>
      <c r="L89" s="73">
        <v>25</v>
      </c>
      <c r="M89" s="73">
        <v>-0.25</v>
      </c>
      <c r="N89" s="73">
        <v>-0.75</v>
      </c>
      <c r="O89" s="73">
        <f t="shared" si="49"/>
        <v>-0.625</v>
      </c>
      <c r="P89" s="33">
        <v>-0.76900000000000002</v>
      </c>
      <c r="Q89" s="34">
        <v>0.23400000000000001</v>
      </c>
      <c r="R89" s="34">
        <v>0.217</v>
      </c>
      <c r="S89" s="35">
        <f>G89</f>
        <v>3</v>
      </c>
      <c r="T89" s="35">
        <f>H89</f>
        <v>22.7</v>
      </c>
      <c r="U89" s="35">
        <f>((1.3375-1)/F89*1000)</f>
        <v>7.8506629448708978</v>
      </c>
      <c r="V89" s="35">
        <v>0</v>
      </c>
      <c r="W89" s="35">
        <f t="shared" si="60"/>
        <v>4.8588999999999993</v>
      </c>
      <c r="X89" s="35">
        <f t="shared" si="61"/>
        <v>42.225733333333345</v>
      </c>
      <c r="Y89" s="35">
        <f t="shared" si="62"/>
        <v>0</v>
      </c>
      <c r="Z89" s="35">
        <f t="shared" si="63"/>
        <v>74.883275134380725</v>
      </c>
      <c r="AA89" s="35">
        <f t="shared" si="64"/>
        <v>49.886906474332207</v>
      </c>
      <c r="AB89" s="36">
        <f t="shared" si="65"/>
        <v>24.996368660048518</v>
      </c>
      <c r="AC89" s="34">
        <f t="shared" si="66"/>
        <v>1189003.26</v>
      </c>
      <c r="AD89" s="34">
        <f t="shared" si="67"/>
        <v>28159.996980250002</v>
      </c>
      <c r="AE89" s="34">
        <f t="shared" si="68"/>
        <v>42.223131658497934</v>
      </c>
      <c r="AF89" s="37">
        <f t="shared" si="69"/>
        <v>-2.6017560624902688E-3</v>
      </c>
      <c r="AG89" s="25">
        <f t="shared" si="70"/>
        <v>-0.62239824393750975</v>
      </c>
      <c r="AH89" s="25">
        <f t="shared" si="71"/>
        <v>0.62239824393750975</v>
      </c>
    </row>
    <row r="90" spans="1:34" x14ac:dyDescent="0.2">
      <c r="A90" s="62" t="s">
        <v>141</v>
      </c>
      <c r="B90" s="73">
        <v>61</v>
      </c>
      <c r="C90" s="73" t="s">
        <v>28</v>
      </c>
      <c r="D90" s="50" t="s">
        <v>61</v>
      </c>
      <c r="E90" s="50">
        <v>45.96</v>
      </c>
      <c r="F90" s="50">
        <v>46.06</v>
      </c>
      <c r="G90" s="50">
        <v>3.22</v>
      </c>
      <c r="H90" s="50">
        <v>22.47</v>
      </c>
      <c r="I90" s="50">
        <v>4.34</v>
      </c>
      <c r="J90" s="73" t="s">
        <v>60</v>
      </c>
      <c r="K90" s="73">
        <v>119.1</v>
      </c>
      <c r="L90" s="73">
        <v>22</v>
      </c>
      <c r="M90" s="73">
        <v>0.5</v>
      </c>
      <c r="N90" s="73">
        <v>-0.25</v>
      </c>
      <c r="O90" s="73">
        <f t="shared" si="49"/>
        <v>0.375</v>
      </c>
      <c r="P90" s="33">
        <v>-0.39900000000000002</v>
      </c>
      <c r="Q90" s="34">
        <v>0.20899999999999999</v>
      </c>
      <c r="R90" s="34">
        <v>0.21099999999999999</v>
      </c>
      <c r="S90" s="35">
        <f>G90</f>
        <v>3.22</v>
      </c>
      <c r="T90" s="35">
        <f>H90</f>
        <v>22.47</v>
      </c>
      <c r="U90" s="35">
        <f>((1.3375-1)/F90*1000)</f>
        <v>7.3273990447242703</v>
      </c>
      <c r="V90" s="35">
        <v>0</v>
      </c>
      <c r="W90" s="35">
        <f t="shared" si="60"/>
        <v>5.0151499999999993</v>
      </c>
      <c r="X90" s="35">
        <f t="shared" si="61"/>
        <v>45.241155555555572</v>
      </c>
      <c r="Y90" s="35">
        <f t="shared" si="62"/>
        <v>0</v>
      </c>
      <c r="Z90" s="35">
        <f t="shared" si="63"/>
        <v>76.540331197346291</v>
      </c>
      <c r="AA90" s="35">
        <f t="shared" si="64"/>
        <v>54.496170981869525</v>
      </c>
      <c r="AB90" s="36">
        <f t="shared" si="65"/>
        <v>22.044160215476765</v>
      </c>
      <c r="AC90" s="34">
        <f t="shared" si="66"/>
        <v>1271863.0488</v>
      </c>
      <c r="AD90" s="34">
        <f t="shared" si="67"/>
        <v>28094.068798494998</v>
      </c>
      <c r="AE90" s="34">
        <f t="shared" si="68"/>
        <v>45.271585896740376</v>
      </c>
      <c r="AF90" s="37">
        <f t="shared" si="69"/>
        <v>3.0419233173075478E-2</v>
      </c>
      <c r="AG90" s="25">
        <f t="shared" si="70"/>
        <v>0.34458076682692451</v>
      </c>
      <c r="AH90" s="25">
        <f t="shared" si="71"/>
        <v>0.34458076682692451</v>
      </c>
    </row>
    <row r="91" spans="1:34" x14ac:dyDescent="0.2">
      <c r="A91" s="62" t="s">
        <v>142</v>
      </c>
      <c r="B91" s="73">
        <v>74</v>
      </c>
      <c r="C91" s="73" t="s">
        <v>27</v>
      </c>
      <c r="D91" s="50" t="s">
        <v>0</v>
      </c>
      <c r="E91" s="50">
        <v>44.08</v>
      </c>
      <c r="F91" s="50">
        <v>43.97</v>
      </c>
      <c r="G91" s="50">
        <v>2.97</v>
      </c>
      <c r="H91" s="50">
        <v>22.68</v>
      </c>
      <c r="I91" s="50">
        <v>4.82</v>
      </c>
      <c r="J91" s="73" t="s">
        <v>60</v>
      </c>
      <c r="K91" s="73">
        <v>119.1</v>
      </c>
      <c r="L91" s="73">
        <v>23.5</v>
      </c>
      <c r="M91" s="73">
        <f>1</f>
        <v>1</v>
      </c>
      <c r="N91" s="73">
        <v>-1.25</v>
      </c>
      <c r="O91" s="73">
        <f t="shared" si="49"/>
        <v>0.375</v>
      </c>
      <c r="P91" s="33">
        <v>-0.39900000000000002</v>
      </c>
      <c r="Q91" s="34">
        <v>0.20899999999999999</v>
      </c>
      <c r="R91" s="34">
        <v>0.21099999999999999</v>
      </c>
      <c r="S91" s="35">
        <f>G91</f>
        <v>2.97</v>
      </c>
      <c r="T91" s="35">
        <f>H91</f>
        <v>22.68</v>
      </c>
      <c r="U91" s="35">
        <f>((1.3375-1)/F91*1000)</f>
        <v>7.675687969069819</v>
      </c>
      <c r="V91" s="35">
        <v>0</v>
      </c>
      <c r="W91" s="35">
        <f t="shared" si="60"/>
        <v>5.0072099999999997</v>
      </c>
      <c r="X91" s="35">
        <f t="shared" si="61"/>
        <v>43.188311111111119</v>
      </c>
      <c r="Y91" s="35">
        <f t="shared" si="62"/>
        <v>0</v>
      </c>
      <c r="Z91" s="35">
        <f t="shared" si="63"/>
        <v>75.59643949823429</v>
      </c>
      <c r="AA91" s="35">
        <f t="shared" si="64"/>
        <v>51.529122847968253</v>
      </c>
      <c r="AB91" s="36">
        <f t="shared" si="65"/>
        <v>24.067316650266037</v>
      </c>
      <c r="AC91" s="34">
        <f t="shared" si="66"/>
        <v>1230041.08516</v>
      </c>
      <c r="AD91" s="34">
        <f t="shared" si="67"/>
        <v>28220.93278582635</v>
      </c>
      <c r="AE91" s="34">
        <f t="shared" si="68"/>
        <v>43.58612433171502</v>
      </c>
      <c r="AF91" s="37">
        <f t="shared" si="69"/>
        <v>0.39592317890495771</v>
      </c>
      <c r="AG91" s="25">
        <f t="shared" si="70"/>
        <v>-2.0923178904957707E-2</v>
      </c>
      <c r="AH91" s="25">
        <f t="shared" si="71"/>
        <v>2.0923178904957707E-2</v>
      </c>
    </row>
    <row r="92" spans="1:34" x14ac:dyDescent="0.2">
      <c r="A92" s="62" t="s">
        <v>143</v>
      </c>
      <c r="B92" s="73">
        <v>63</v>
      </c>
      <c r="C92" s="73" t="s">
        <v>28</v>
      </c>
      <c r="D92" s="50" t="s">
        <v>0</v>
      </c>
      <c r="E92" s="50">
        <v>44.13</v>
      </c>
      <c r="F92" s="50">
        <v>44.6</v>
      </c>
      <c r="G92" s="50">
        <v>2.81</v>
      </c>
      <c r="H92" s="50">
        <v>23.72</v>
      </c>
      <c r="I92" s="50">
        <v>4.6100000000000003</v>
      </c>
      <c r="J92" s="73" t="s">
        <v>6</v>
      </c>
      <c r="K92" s="73">
        <v>119</v>
      </c>
      <c r="L92" s="73">
        <v>23</v>
      </c>
      <c r="M92" s="73">
        <v>-3.25</v>
      </c>
      <c r="N92" s="73">
        <v>0</v>
      </c>
      <c r="O92" s="73">
        <f t="shared" si="49"/>
        <v>-3.25</v>
      </c>
      <c r="P92" s="33">
        <v>-0.76900000000000002</v>
      </c>
      <c r="Q92" s="34">
        <v>0.23400000000000001</v>
      </c>
      <c r="R92" s="34">
        <v>0.217</v>
      </c>
      <c r="S92" s="35">
        <f>G92</f>
        <v>2.81</v>
      </c>
      <c r="T92" s="35">
        <f>H92</f>
        <v>23.72</v>
      </c>
      <c r="U92" s="35">
        <f>((1.3375-1)/F92*1000)</f>
        <v>7.5672645739910287</v>
      </c>
      <c r="V92" s="35">
        <v>0</v>
      </c>
      <c r="W92" s="35">
        <f t="shared" si="60"/>
        <v>5.0357799999999999</v>
      </c>
      <c r="X92" s="35">
        <f t="shared" si="61"/>
        <v>43.807111111111126</v>
      </c>
      <c r="Y92" s="35">
        <f t="shared" si="62"/>
        <v>0</v>
      </c>
      <c r="Z92" s="35">
        <f t="shared" si="63"/>
        <v>71.504189096467499</v>
      </c>
      <c r="AA92" s="35">
        <f t="shared" si="64"/>
        <v>52.471271735287964</v>
      </c>
      <c r="AB92" s="36">
        <f t="shared" si="65"/>
        <v>19.032917361179535</v>
      </c>
      <c r="AC92" s="34">
        <f t="shared" si="66"/>
        <v>1210767.2878400001</v>
      </c>
      <c r="AD92" s="34">
        <f t="shared" si="67"/>
        <v>29525.8587079932</v>
      </c>
      <c r="AE92" s="34">
        <f t="shared" si="68"/>
        <v>41.007013540717878</v>
      </c>
      <c r="AF92" s="37">
        <f t="shared" si="69"/>
        <v>-2.8974554665394039</v>
      </c>
      <c r="AG92" s="25">
        <f t="shared" si="70"/>
        <v>-0.35254453346059611</v>
      </c>
      <c r="AH92" s="25">
        <f t="shared" si="71"/>
        <v>0.35254453346059611</v>
      </c>
    </row>
    <row r="93" spans="1:34" x14ac:dyDescent="0.2">
      <c r="A93" s="62" t="s">
        <v>144</v>
      </c>
      <c r="B93" s="73">
        <v>62</v>
      </c>
      <c r="C93" s="73" t="s">
        <v>28</v>
      </c>
      <c r="D93" s="50" t="s">
        <v>0</v>
      </c>
      <c r="E93" s="50">
        <v>45.12</v>
      </c>
      <c r="F93" s="50">
        <v>45.02</v>
      </c>
      <c r="G93" s="50">
        <v>3.15</v>
      </c>
      <c r="H93" s="50">
        <v>22.82</v>
      </c>
      <c r="I93" s="50">
        <v>4.51</v>
      </c>
      <c r="J93" s="73" t="s">
        <v>6</v>
      </c>
      <c r="K93" s="73">
        <v>119</v>
      </c>
      <c r="L93" s="73">
        <v>21.5</v>
      </c>
      <c r="M93" s="73">
        <f>0.25</f>
        <v>0.25</v>
      </c>
      <c r="N93" s="73">
        <v>0</v>
      </c>
      <c r="O93" s="73">
        <f t="shared" si="49"/>
        <v>0.25</v>
      </c>
      <c r="P93" s="33">
        <v>-0.76900000000000002</v>
      </c>
      <c r="Q93" s="34">
        <v>0.23400000000000001</v>
      </c>
      <c r="R93" s="34">
        <v>0.217</v>
      </c>
      <c r="S93" s="35">
        <f>G93</f>
        <v>3.15</v>
      </c>
      <c r="T93" s="35">
        <f>H93</f>
        <v>22.82</v>
      </c>
      <c r="U93" s="35">
        <f>((1.3375-1)/F93*1000)</f>
        <v>7.4966681474900021</v>
      </c>
      <c r="V93" s="35">
        <v>0</v>
      </c>
      <c r="W93" s="35">
        <f t="shared" si="60"/>
        <v>4.9200400000000002</v>
      </c>
      <c r="X93" s="35">
        <f t="shared" si="61"/>
        <v>44.219644444444455</v>
      </c>
      <c r="Y93" s="35">
        <f t="shared" si="62"/>
        <v>0</v>
      </c>
      <c r="Z93" s="35">
        <f t="shared" si="63"/>
        <v>74.637038295057636</v>
      </c>
      <c r="AA93" s="35">
        <f t="shared" si="64"/>
        <v>52.821405508258351</v>
      </c>
      <c r="AB93" s="36">
        <f t="shared" si="65"/>
        <v>21.815632786799284</v>
      </c>
      <c r="AC93" s="34">
        <f t="shared" si="66"/>
        <v>1270737.54896</v>
      </c>
      <c r="AD93" s="34">
        <f t="shared" si="67"/>
        <v>28594.046837234404</v>
      </c>
      <c r="AE93" s="34">
        <f t="shared" si="68"/>
        <v>44.440633261650795</v>
      </c>
      <c r="AF93" s="37">
        <f t="shared" si="69"/>
        <v>0.22040433448811197</v>
      </c>
      <c r="AG93" s="25">
        <f t="shared" si="70"/>
        <v>2.9595665511888025E-2</v>
      </c>
      <c r="AH93" s="25">
        <f t="shared" si="71"/>
        <v>2.9595665511888025E-2</v>
      </c>
    </row>
    <row r="94" spans="1:34" x14ac:dyDescent="0.2">
      <c r="A94" s="62" t="s">
        <v>145</v>
      </c>
      <c r="B94" s="73">
        <v>66</v>
      </c>
      <c r="C94" s="73" t="s">
        <v>27</v>
      </c>
      <c r="D94" s="50" t="s">
        <v>1</v>
      </c>
      <c r="E94" s="50">
        <v>47.22</v>
      </c>
      <c r="F94" s="50">
        <v>47.34</v>
      </c>
      <c r="G94" s="50">
        <v>3.06</v>
      </c>
      <c r="H94" s="50">
        <v>22.06</v>
      </c>
      <c r="I94" s="50">
        <v>4.3899999999999997</v>
      </c>
      <c r="J94" s="73" t="s">
        <v>6</v>
      </c>
      <c r="K94" s="73">
        <v>119</v>
      </c>
      <c r="L94" s="73">
        <v>21.5</v>
      </c>
      <c r="M94" s="73">
        <v>0</v>
      </c>
      <c r="N94" s="73">
        <v>-2</v>
      </c>
      <c r="O94" s="73">
        <f t="shared" si="49"/>
        <v>-1</v>
      </c>
      <c r="P94" s="33">
        <v>-0.76900000000000002</v>
      </c>
      <c r="Q94" s="34">
        <v>0.23400000000000001</v>
      </c>
      <c r="R94" s="34">
        <v>0.217</v>
      </c>
      <c r="S94" s="35">
        <f>G94</f>
        <v>3.06</v>
      </c>
      <c r="T94" s="35">
        <f>H94</f>
        <v>22.06</v>
      </c>
      <c r="U94" s="35">
        <f>((1.3375-1)/F94*1000)</f>
        <v>7.1292775665399217</v>
      </c>
      <c r="V94" s="35">
        <v>0</v>
      </c>
      <c r="W94" s="35">
        <f t="shared" si="60"/>
        <v>4.7340600000000004</v>
      </c>
      <c r="X94" s="35">
        <f t="shared" si="61"/>
        <v>46.498400000000018</v>
      </c>
      <c r="Y94" s="35">
        <f t="shared" si="62"/>
        <v>0</v>
      </c>
      <c r="Z94" s="35">
        <f t="shared" si="63"/>
        <v>77.109813378090891</v>
      </c>
      <c r="AA94" s="35">
        <f t="shared" si="64"/>
        <v>55.671047445619699</v>
      </c>
      <c r="AB94" s="36">
        <f t="shared" si="65"/>
        <v>21.438765932471192</v>
      </c>
      <c r="AC94" s="34">
        <f t="shared" si="66"/>
        <v>1287225.6994400001</v>
      </c>
      <c r="AD94" s="34">
        <f t="shared" si="67"/>
        <v>27708.6861503974</v>
      </c>
      <c r="AE94" s="34">
        <f t="shared" si="68"/>
        <v>46.455674312855813</v>
      </c>
      <c r="AF94" s="37">
        <f t="shared" si="69"/>
        <v>-4.2747604193360593E-2</v>
      </c>
      <c r="AG94" s="25">
        <f t="shared" si="70"/>
        <v>-0.95725239580663946</v>
      </c>
      <c r="AH94" s="25">
        <f t="shared" si="71"/>
        <v>0.95725239580663946</v>
      </c>
    </row>
    <row r="95" spans="1:34" x14ac:dyDescent="0.2">
      <c r="A95" s="62" t="s">
        <v>146</v>
      </c>
      <c r="B95" s="73">
        <v>73</v>
      </c>
      <c r="C95" s="73" t="s">
        <v>27</v>
      </c>
      <c r="D95" s="50" t="s">
        <v>0</v>
      </c>
      <c r="E95" s="50">
        <v>41.87</v>
      </c>
      <c r="F95" s="50">
        <v>41.87</v>
      </c>
      <c r="G95" s="50">
        <v>2.81</v>
      </c>
      <c r="H95" s="50">
        <v>24.52</v>
      </c>
      <c r="I95" s="50">
        <v>5.04</v>
      </c>
      <c r="J95" s="73" t="s">
        <v>6</v>
      </c>
      <c r="K95" s="73">
        <v>119</v>
      </c>
      <c r="L95" s="73">
        <v>21.5</v>
      </c>
      <c r="M95" s="73">
        <v>-0.75</v>
      </c>
      <c r="N95" s="73">
        <v>-0.5</v>
      </c>
      <c r="O95" s="73">
        <f t="shared" si="49"/>
        <v>-1</v>
      </c>
      <c r="P95" s="33">
        <v>-0.76900000000000002</v>
      </c>
      <c r="Q95" s="34">
        <v>0.23400000000000001</v>
      </c>
      <c r="R95" s="34">
        <v>0.217</v>
      </c>
      <c r="S95" s="35">
        <f>G95</f>
        <v>2.81</v>
      </c>
      <c r="T95" s="35">
        <f>H95</f>
        <v>24.52</v>
      </c>
      <c r="U95" s="35">
        <f>((1.3375-1)/F95*1000)</f>
        <v>8.0606639598758054</v>
      </c>
      <c r="V95" s="35">
        <v>0</v>
      </c>
      <c r="W95" s="35">
        <f t="shared" si="60"/>
        <v>5.2093799999999995</v>
      </c>
      <c r="X95" s="35">
        <f t="shared" si="61"/>
        <v>41.125644444444447</v>
      </c>
      <c r="Y95" s="35">
        <f t="shared" si="62"/>
        <v>0</v>
      </c>
      <c r="Z95" s="35">
        <f t="shared" si="63"/>
        <v>69.184728403334532</v>
      </c>
      <c r="AA95" s="35">
        <f t="shared" si="64"/>
        <v>48.980011204463239</v>
      </c>
      <c r="AB95" s="36">
        <f t="shared" si="65"/>
        <v>20.204717198871293</v>
      </c>
      <c r="AC95" s="34">
        <f t="shared" si="66"/>
        <v>1230217.7511200001</v>
      </c>
      <c r="AD95" s="34">
        <f t="shared" si="67"/>
        <v>30595.898311264602</v>
      </c>
      <c r="AE95" s="34">
        <f t="shared" si="68"/>
        <v>40.208584124724538</v>
      </c>
      <c r="AF95" s="37">
        <f t="shared" si="69"/>
        <v>-0.92726461068397414</v>
      </c>
      <c r="AG95" s="25">
        <f t="shared" si="70"/>
        <v>-7.2735389316025856E-2</v>
      </c>
      <c r="AH95" s="25">
        <f t="shared" si="71"/>
        <v>7.2735389316025856E-2</v>
      </c>
    </row>
    <row r="96" spans="1:34" x14ac:dyDescent="0.2">
      <c r="A96" s="62" t="s">
        <v>147</v>
      </c>
      <c r="B96" s="73">
        <v>80</v>
      </c>
      <c r="C96" s="73" t="s">
        <v>28</v>
      </c>
      <c r="D96" s="50" t="s">
        <v>1</v>
      </c>
      <c r="E96" s="50">
        <v>43.19</v>
      </c>
      <c r="F96" s="50">
        <v>43.16</v>
      </c>
      <c r="G96" s="50">
        <v>2.73</v>
      </c>
      <c r="H96" s="50">
        <v>23.9</v>
      </c>
      <c r="I96" s="50">
        <v>5.33</v>
      </c>
      <c r="J96" s="73" t="s">
        <v>10</v>
      </c>
      <c r="K96" s="73">
        <v>119.2</v>
      </c>
      <c r="L96" s="73">
        <v>24</v>
      </c>
      <c r="M96" s="73">
        <v>-2.75</v>
      </c>
      <c r="N96" s="73">
        <v>-0.75</v>
      </c>
      <c r="O96" s="73">
        <f t="shared" si="49"/>
        <v>-3.125</v>
      </c>
      <c r="P96" s="33">
        <v>1.024</v>
      </c>
      <c r="Q96" s="34">
        <v>0.21240000000000001</v>
      </c>
      <c r="R96" s="34">
        <v>0.151</v>
      </c>
      <c r="S96" s="35">
        <f>G96</f>
        <v>2.73</v>
      </c>
      <c r="T96" s="35">
        <f>H96</f>
        <v>23.9</v>
      </c>
      <c r="U96" s="35">
        <f>((1.3375-1)/F96*1000)</f>
        <v>7.8197405004633902</v>
      </c>
      <c r="V96" s="35">
        <v>0</v>
      </c>
      <c r="W96" s="35">
        <f t="shared" si="60"/>
        <v>5.2127520000000001</v>
      </c>
      <c r="X96" s="35">
        <f t="shared" si="61"/>
        <v>42.392711111111119</v>
      </c>
      <c r="Y96" s="35">
        <f t="shared" si="62"/>
        <v>0</v>
      </c>
      <c r="Z96" s="35">
        <f t="shared" si="63"/>
        <v>71.492602870149753</v>
      </c>
      <c r="AA96" s="35">
        <f t="shared" si="64"/>
        <v>50.79442401270321</v>
      </c>
      <c r="AB96" s="36">
        <f t="shared" si="65"/>
        <v>20.698178857446543</v>
      </c>
      <c r="AC96" s="34">
        <f t="shared" si="66"/>
        <v>1185708.0801280001</v>
      </c>
      <c r="AD96" s="34">
        <f t="shared" si="67"/>
        <v>29592.51225472409</v>
      </c>
      <c r="AE96" s="34">
        <f t="shared" si="68"/>
        <v>40.06784114581945</v>
      </c>
      <c r="AF96" s="37">
        <f t="shared" si="69"/>
        <v>-2.3915916401734512</v>
      </c>
      <c r="AG96" s="25">
        <f t="shared" si="70"/>
        <v>-0.73340835982654884</v>
      </c>
      <c r="AH96" s="25">
        <f t="shared" si="71"/>
        <v>0.73340835982654884</v>
      </c>
    </row>
    <row r="97" spans="1:34" x14ac:dyDescent="0.2">
      <c r="A97" s="62" t="s">
        <v>148</v>
      </c>
      <c r="B97" s="73">
        <v>64</v>
      </c>
      <c r="C97" s="73" t="s">
        <v>28</v>
      </c>
      <c r="D97" s="50" t="s">
        <v>0</v>
      </c>
      <c r="E97" s="50">
        <v>45.06</v>
      </c>
      <c r="F97" s="50">
        <v>45.42</v>
      </c>
      <c r="G97" s="50">
        <v>2.89</v>
      </c>
      <c r="H97" s="50">
        <v>22.9</v>
      </c>
      <c r="I97" s="50">
        <v>4.34</v>
      </c>
      <c r="J97" s="73" t="s">
        <v>40</v>
      </c>
      <c r="K97" s="73">
        <v>119.2</v>
      </c>
      <c r="L97" s="73">
        <v>21.5</v>
      </c>
      <c r="M97" s="73">
        <v>-0.5</v>
      </c>
      <c r="N97" s="73">
        <v>-0.75</v>
      </c>
      <c r="O97" s="73">
        <f t="shared" si="49"/>
        <v>-0.875</v>
      </c>
      <c r="P97" s="33">
        <v>1.024</v>
      </c>
      <c r="Q97" s="34">
        <v>0.21240000000000001</v>
      </c>
      <c r="R97" s="34">
        <v>0.151</v>
      </c>
      <c r="S97" s="35">
        <f>G97</f>
        <v>2.89</v>
      </c>
      <c r="T97" s="35">
        <f>H97</f>
        <v>22.9</v>
      </c>
      <c r="U97" s="35">
        <f>((1.3375-1)/F97*1000)</f>
        <v>7.4306472919418738</v>
      </c>
      <c r="V97" s="35">
        <v>0</v>
      </c>
      <c r="W97" s="35">
        <f t="shared" si="60"/>
        <v>5.0957359999999996</v>
      </c>
      <c r="X97" s="35">
        <f t="shared" si="61"/>
        <v>44.612533333333346</v>
      </c>
      <c r="Y97" s="35">
        <f t="shared" si="62"/>
        <v>0</v>
      </c>
      <c r="Z97" s="35">
        <f t="shared" si="63"/>
        <v>75.038204331277043</v>
      </c>
      <c r="AA97" s="35">
        <f t="shared" si="64"/>
        <v>53.760400322204362</v>
      </c>
      <c r="AB97" s="36">
        <f t="shared" si="65"/>
        <v>21.277804009072682</v>
      </c>
      <c r="AC97" s="34">
        <f t="shared" si="66"/>
        <v>1273486.3208639999</v>
      </c>
      <c r="AD97" s="34">
        <f t="shared" si="67"/>
        <v>28643.794676106463</v>
      </c>
      <c r="AE97" s="34">
        <f t="shared" si="68"/>
        <v>44.459413819436868</v>
      </c>
      <c r="AF97" s="37">
        <f t="shared" si="69"/>
        <v>-0.15340137883116975</v>
      </c>
      <c r="AG97" s="25">
        <f t="shared" si="70"/>
        <v>-0.72159862116883022</v>
      </c>
      <c r="AH97" s="25">
        <f t="shared" si="71"/>
        <v>0.72159862116883022</v>
      </c>
    </row>
    <row r="98" spans="1:34" x14ac:dyDescent="0.2">
      <c r="A98" s="62" t="s">
        <v>149</v>
      </c>
      <c r="B98" s="73">
        <v>70</v>
      </c>
      <c r="C98" s="73" t="s">
        <v>27</v>
      </c>
      <c r="D98" s="50" t="s">
        <v>0</v>
      </c>
      <c r="E98" s="50">
        <v>47.56</v>
      </c>
      <c r="F98" s="50">
        <v>47.94</v>
      </c>
      <c r="G98" s="50">
        <v>2.77</v>
      </c>
      <c r="H98" s="50">
        <v>22.17</v>
      </c>
      <c r="I98" s="50">
        <v>5.12</v>
      </c>
      <c r="J98" s="73" t="s">
        <v>62</v>
      </c>
      <c r="K98" s="73">
        <v>119.2</v>
      </c>
      <c r="L98" s="73">
        <v>20</v>
      </c>
      <c r="M98" s="73">
        <v>1.25</v>
      </c>
      <c r="N98" s="73">
        <v>-3</v>
      </c>
      <c r="O98" s="73">
        <f t="shared" si="49"/>
        <v>-0.25</v>
      </c>
      <c r="P98" s="33">
        <v>1.024</v>
      </c>
      <c r="Q98" s="34">
        <v>0.21240000000000001</v>
      </c>
      <c r="R98" s="34">
        <v>0.151</v>
      </c>
      <c r="S98" s="35">
        <f>G98</f>
        <v>2.77</v>
      </c>
      <c r="T98" s="35">
        <f>H98</f>
        <v>22.17</v>
      </c>
      <c r="U98" s="35">
        <f>((1.3375-1)/F98*1000)</f>
        <v>7.0400500625782216</v>
      </c>
      <c r="V98" s="35">
        <v>0</v>
      </c>
      <c r="W98" s="35">
        <f t="shared" si="60"/>
        <v>4.9600179999999998</v>
      </c>
      <c r="X98" s="35">
        <f t="shared" si="61"/>
        <v>47.08773333333334</v>
      </c>
      <c r="Y98" s="35">
        <f t="shared" si="62"/>
        <v>0</v>
      </c>
      <c r="Z98" s="35">
        <f t="shared" si="63"/>
        <v>77.629366492074183</v>
      </c>
      <c r="AA98" s="35">
        <f t="shared" si="64"/>
        <v>57.063408221786538</v>
      </c>
      <c r="AB98" s="36">
        <f t="shared" si="65"/>
        <v>20.565958270287645</v>
      </c>
      <c r="AC98" s="34">
        <f t="shared" si="66"/>
        <v>1325045.2809599999</v>
      </c>
      <c r="AD98" s="34">
        <f t="shared" si="67"/>
        <v>27911.883590006484</v>
      </c>
      <c r="AE98" s="34">
        <f t="shared" si="68"/>
        <v>47.472442219356935</v>
      </c>
      <c r="AF98" s="37">
        <f t="shared" si="69"/>
        <v>0.38294103619024994</v>
      </c>
      <c r="AG98" s="25">
        <f t="shared" si="70"/>
        <v>-0.63294103619024988</v>
      </c>
      <c r="AH98" s="25">
        <f t="shared" si="71"/>
        <v>0.63294103619024988</v>
      </c>
    </row>
    <row r="99" spans="1:34" x14ac:dyDescent="0.2">
      <c r="A99" s="62" t="s">
        <v>150</v>
      </c>
      <c r="B99" s="73">
        <v>63</v>
      </c>
      <c r="C99" s="73" t="s">
        <v>28</v>
      </c>
      <c r="D99" s="50" t="s">
        <v>0</v>
      </c>
      <c r="E99" s="50">
        <v>44.13</v>
      </c>
      <c r="F99" s="50">
        <v>44.6</v>
      </c>
      <c r="G99" s="50">
        <v>2.81</v>
      </c>
      <c r="H99" s="50">
        <v>23.72</v>
      </c>
      <c r="I99" s="50">
        <v>4.6100000000000003</v>
      </c>
      <c r="J99" s="73" t="s">
        <v>6</v>
      </c>
      <c r="K99" s="73">
        <v>119</v>
      </c>
      <c r="L99" s="73">
        <v>23</v>
      </c>
      <c r="M99" s="73">
        <v>-3.25</v>
      </c>
      <c r="N99" s="73">
        <v>0</v>
      </c>
      <c r="O99" s="73">
        <f t="shared" si="49"/>
        <v>-3.25</v>
      </c>
      <c r="P99" s="33">
        <v>-0.76900000000000002</v>
      </c>
      <c r="Q99" s="34">
        <v>0.23400000000000001</v>
      </c>
      <c r="R99" s="34">
        <v>0.217</v>
      </c>
      <c r="S99" s="35">
        <f>G99</f>
        <v>2.81</v>
      </c>
      <c r="T99" s="35">
        <f>H99</f>
        <v>23.72</v>
      </c>
      <c r="U99" s="35">
        <f>((1.3375-1)/F99*1000)</f>
        <v>7.5672645739910287</v>
      </c>
      <c r="V99" s="35">
        <v>0</v>
      </c>
      <c r="W99" s="35">
        <f t="shared" si="60"/>
        <v>5.0357799999999999</v>
      </c>
      <c r="X99" s="35">
        <f t="shared" si="61"/>
        <v>43.807111111111126</v>
      </c>
      <c r="Y99" s="35">
        <f t="shared" si="62"/>
        <v>0</v>
      </c>
      <c r="Z99" s="35">
        <f t="shared" si="63"/>
        <v>71.504189096467499</v>
      </c>
      <c r="AA99" s="35">
        <f t="shared" si="64"/>
        <v>52.471271735287964</v>
      </c>
      <c r="AB99" s="36">
        <f t="shared" si="65"/>
        <v>19.032917361179535</v>
      </c>
      <c r="AC99" s="34">
        <f t="shared" si="66"/>
        <v>1210767.2878400001</v>
      </c>
      <c r="AD99" s="34">
        <f t="shared" si="67"/>
        <v>29525.8587079932</v>
      </c>
      <c r="AE99" s="34">
        <f t="shared" si="68"/>
        <v>41.007013540717878</v>
      </c>
      <c r="AF99" s="37">
        <f t="shared" si="69"/>
        <v>-2.8974554665394039</v>
      </c>
      <c r="AG99" s="25">
        <f t="shared" si="70"/>
        <v>-0.35254453346059611</v>
      </c>
      <c r="AH99" s="25">
        <f t="shared" si="71"/>
        <v>0.35254453346059611</v>
      </c>
    </row>
    <row r="100" spans="1:34" x14ac:dyDescent="0.2">
      <c r="A100" s="62" t="s">
        <v>151</v>
      </c>
      <c r="B100" s="73">
        <v>65</v>
      </c>
      <c r="C100" s="73" t="s">
        <v>27</v>
      </c>
      <c r="D100" s="50" t="s">
        <v>1</v>
      </c>
      <c r="E100" s="50">
        <v>45.04</v>
      </c>
      <c r="F100" s="50">
        <v>45.07</v>
      </c>
      <c r="G100" s="50">
        <v>2.4300000000000002</v>
      </c>
      <c r="H100" s="50">
        <v>21.66</v>
      </c>
      <c r="I100" s="50">
        <v>4.74</v>
      </c>
      <c r="J100" s="73" t="s">
        <v>31</v>
      </c>
      <c r="K100" s="73">
        <v>119.2</v>
      </c>
      <c r="L100" s="73">
        <v>26.5</v>
      </c>
      <c r="M100" s="73">
        <f>0.5</f>
        <v>0.5</v>
      </c>
      <c r="N100" s="73">
        <v>0</v>
      </c>
      <c r="O100" s="73">
        <f t="shared" si="49"/>
        <v>0.5</v>
      </c>
      <c r="P100" s="33">
        <v>1.024</v>
      </c>
      <c r="Q100" s="34">
        <v>0.21240000000000001</v>
      </c>
      <c r="R100" s="34">
        <v>0.151</v>
      </c>
      <c r="S100" s="35">
        <f>G100</f>
        <v>2.4300000000000002</v>
      </c>
      <c r="T100" s="35">
        <f>H100</f>
        <v>21.66</v>
      </c>
      <c r="U100" s="35">
        <f>((1.3375-1)/F100*1000)</f>
        <v>7.4883514532948725</v>
      </c>
      <c r="V100" s="35">
        <v>0</v>
      </c>
      <c r="W100" s="35">
        <f t="shared" si="60"/>
        <v>4.8107920000000002</v>
      </c>
      <c r="X100" s="35">
        <f t="shared" si="61"/>
        <v>44.268755555555565</v>
      </c>
      <c r="Y100" s="35">
        <f t="shared" si="62"/>
        <v>0</v>
      </c>
      <c r="Z100" s="35">
        <f t="shared" si="63"/>
        <v>79.291560766535724</v>
      </c>
      <c r="AA100" s="35">
        <f t="shared" si="64"/>
        <v>52.663722473553641</v>
      </c>
      <c r="AB100" s="36">
        <f t="shared" si="65"/>
        <v>26.627838292982084</v>
      </c>
      <c r="AC100" s="34">
        <f t="shared" si="66"/>
        <v>1188366.6399679999</v>
      </c>
      <c r="AD100" s="34">
        <f t="shared" si="67"/>
        <v>26789.722071102497</v>
      </c>
      <c r="AE100" s="34">
        <f t="shared" si="68"/>
        <v>44.35905071407462</v>
      </c>
      <c r="AF100" s="37">
        <f t="shared" si="69"/>
        <v>9.0197425828696456E-2</v>
      </c>
      <c r="AG100" s="25">
        <f t="shared" si="70"/>
        <v>0.40980257417130356</v>
      </c>
      <c r="AH100" s="25">
        <f t="shared" si="71"/>
        <v>0.40980257417130356</v>
      </c>
    </row>
    <row r="101" spans="1:34" x14ac:dyDescent="0.2">
      <c r="A101" s="62" t="s">
        <v>152</v>
      </c>
      <c r="B101" s="73">
        <v>72</v>
      </c>
      <c r="C101" s="73" t="s">
        <v>27</v>
      </c>
      <c r="D101" s="50" t="s">
        <v>0</v>
      </c>
      <c r="E101" s="50">
        <v>42.99</v>
      </c>
      <c r="F101" s="50">
        <v>43.19</v>
      </c>
      <c r="G101" s="50">
        <v>2.73</v>
      </c>
      <c r="H101" s="50">
        <v>23.72</v>
      </c>
      <c r="I101" s="50">
        <v>4.84</v>
      </c>
      <c r="J101" s="73" t="s">
        <v>6</v>
      </c>
      <c r="K101" s="73">
        <v>119</v>
      </c>
      <c r="L101" s="73">
        <v>21</v>
      </c>
      <c r="M101" s="73">
        <v>0</v>
      </c>
      <c r="N101" s="73">
        <v>-0.5</v>
      </c>
      <c r="O101" s="73">
        <f t="shared" si="49"/>
        <v>-0.25</v>
      </c>
      <c r="P101" s="33">
        <v>-0.76900000000000002</v>
      </c>
      <c r="Q101" s="34">
        <v>0.23400000000000001</v>
      </c>
      <c r="R101" s="34">
        <v>0.217</v>
      </c>
      <c r="S101" s="35">
        <f>G101</f>
        <v>2.73</v>
      </c>
      <c r="T101" s="35">
        <f>H101</f>
        <v>23.72</v>
      </c>
      <c r="U101" s="35">
        <f>((1.3375-1)/F101*1000)</f>
        <v>7.8143088677934696</v>
      </c>
      <c r="V101" s="35">
        <v>0</v>
      </c>
      <c r="W101" s="35">
        <f t="shared" si="60"/>
        <v>5.0170599999999999</v>
      </c>
      <c r="X101" s="35">
        <f t="shared" si="61"/>
        <v>42.422177777777783</v>
      </c>
      <c r="Y101" s="35">
        <f t="shared" si="62"/>
        <v>0</v>
      </c>
      <c r="Z101" s="35">
        <f t="shared" si="63"/>
        <v>71.432619684391867</v>
      </c>
      <c r="AA101" s="35">
        <f t="shared" si="64"/>
        <v>50.460982931260418</v>
      </c>
      <c r="AB101" s="36">
        <f t="shared" si="65"/>
        <v>20.971636753131449</v>
      </c>
      <c r="AC101" s="34">
        <f t="shared" si="66"/>
        <v>1260166.3153600001</v>
      </c>
      <c r="AD101" s="34">
        <f t="shared" si="67"/>
        <v>29719.410784715597</v>
      </c>
      <c r="AE101" s="34">
        <f t="shared" si="68"/>
        <v>42.402129856763224</v>
      </c>
      <c r="AF101" s="37">
        <f t="shared" si="69"/>
        <v>-2.0052745204782653E-2</v>
      </c>
      <c r="AG101" s="25">
        <f t="shared" si="70"/>
        <v>-0.22994725479521735</v>
      </c>
      <c r="AH101" s="25">
        <f t="shared" si="71"/>
        <v>0.22994725479521735</v>
      </c>
    </row>
    <row r="102" spans="1:34" x14ac:dyDescent="0.2">
      <c r="A102" s="62" t="s">
        <v>153</v>
      </c>
      <c r="B102" s="73">
        <v>59</v>
      </c>
      <c r="C102" s="73" t="s">
        <v>28</v>
      </c>
      <c r="D102" s="50" t="s">
        <v>0</v>
      </c>
      <c r="E102" s="50">
        <v>41.28</v>
      </c>
      <c r="F102" s="50">
        <v>41.34</v>
      </c>
      <c r="G102" s="50">
        <v>3.24</v>
      </c>
      <c r="H102" s="50">
        <v>23.87</v>
      </c>
      <c r="I102" s="50">
        <v>4.68</v>
      </c>
      <c r="J102" s="73" t="s">
        <v>6</v>
      </c>
      <c r="K102" s="73">
        <v>119</v>
      </c>
      <c r="L102" s="73">
        <v>23.5</v>
      </c>
      <c r="M102" s="73">
        <v>0</v>
      </c>
      <c r="N102" s="73">
        <v>0</v>
      </c>
      <c r="O102" s="73">
        <f t="shared" si="49"/>
        <v>0</v>
      </c>
      <c r="P102" s="33">
        <v>-0.76900000000000002</v>
      </c>
      <c r="Q102" s="34">
        <v>0.23400000000000001</v>
      </c>
      <c r="R102" s="34">
        <v>0.217</v>
      </c>
      <c r="S102" s="35">
        <f>G102</f>
        <v>3.24</v>
      </c>
      <c r="T102" s="35">
        <f>H102</f>
        <v>23.87</v>
      </c>
      <c r="U102" s="35">
        <f>((1.3375-1)/F102*1000)</f>
        <v>8.1640058055152362</v>
      </c>
      <c r="V102" s="35">
        <v>0</v>
      </c>
      <c r="W102" s="35">
        <f t="shared" si="60"/>
        <v>5.1689500000000006</v>
      </c>
      <c r="X102" s="35">
        <f t="shared" si="61"/>
        <v>40.60506666666668</v>
      </c>
      <c r="Y102" s="35">
        <f t="shared" si="62"/>
        <v>0</v>
      </c>
      <c r="Z102" s="35">
        <f t="shared" si="63"/>
        <v>71.439838939524776</v>
      </c>
      <c r="AA102" s="35">
        <f t="shared" si="64"/>
        <v>48.173051608496941</v>
      </c>
      <c r="AB102" s="36">
        <f t="shared" si="65"/>
        <v>23.266787331027835</v>
      </c>
      <c r="AC102" s="34">
        <f t="shared" si="66"/>
        <v>1197757.8341999999</v>
      </c>
      <c r="AD102" s="34">
        <f t="shared" si="67"/>
        <v>29618.697378658755</v>
      </c>
      <c r="AE102" s="34">
        <f t="shared" si="68"/>
        <v>40.439247509346032</v>
      </c>
      <c r="AF102" s="37">
        <f t="shared" si="69"/>
        <v>-0.16614976709306875</v>
      </c>
      <c r="AG102" s="25">
        <f t="shared" si="70"/>
        <v>0.16614976709306875</v>
      </c>
      <c r="AH102" s="25">
        <f t="shared" si="71"/>
        <v>0.16614976709306875</v>
      </c>
    </row>
    <row r="103" spans="1:34" x14ac:dyDescent="0.2">
      <c r="A103" s="62" t="s">
        <v>154</v>
      </c>
      <c r="B103" s="73">
        <v>62</v>
      </c>
      <c r="C103" s="73" t="s">
        <v>27</v>
      </c>
      <c r="D103" s="50" t="s">
        <v>1</v>
      </c>
      <c r="E103" s="50">
        <v>47.19</v>
      </c>
      <c r="F103" s="50">
        <v>47.82</v>
      </c>
      <c r="G103" s="50">
        <v>3.37</v>
      </c>
      <c r="H103" s="50">
        <v>23.03</v>
      </c>
      <c r="I103" s="50">
        <v>3.74</v>
      </c>
      <c r="J103" s="73" t="s">
        <v>6</v>
      </c>
      <c r="K103" s="73">
        <v>119</v>
      </c>
      <c r="L103" s="73">
        <v>20</v>
      </c>
      <c r="M103" s="73">
        <v>-2</v>
      </c>
      <c r="N103" s="73">
        <v>-0.5</v>
      </c>
      <c r="O103" s="73">
        <f t="shared" si="49"/>
        <v>-2.25</v>
      </c>
      <c r="P103" s="33">
        <v>-0.76900000000000002</v>
      </c>
      <c r="Q103" s="34">
        <v>0.23400000000000001</v>
      </c>
      <c r="R103" s="34">
        <v>0.217</v>
      </c>
      <c r="S103" s="35">
        <f>G103</f>
        <v>3.37</v>
      </c>
      <c r="T103" s="35">
        <f>H103</f>
        <v>23.03</v>
      </c>
      <c r="U103" s="35">
        <f>((1.3375-1)/F103*1000)</f>
        <v>7.0577164366373877</v>
      </c>
      <c r="V103" s="35">
        <v>0</v>
      </c>
      <c r="W103" s="35">
        <f t="shared" si="60"/>
        <v>5.0170900000000005</v>
      </c>
      <c r="X103" s="35">
        <f t="shared" si="61"/>
        <v>46.969866666666682</v>
      </c>
      <c r="Y103" s="35">
        <f t="shared" si="62"/>
        <v>0</v>
      </c>
      <c r="Z103" s="35">
        <f t="shared" si="63"/>
        <v>74.169026548181265</v>
      </c>
      <c r="AA103" s="35">
        <f t="shared" si="64"/>
        <v>57.028998666135543</v>
      </c>
      <c r="AB103" s="36">
        <f t="shared" si="65"/>
        <v>17.140027882045722</v>
      </c>
      <c r="AC103" s="34">
        <f t="shared" si="66"/>
        <v>1303591.0448</v>
      </c>
      <c r="AD103" s="34">
        <f t="shared" si="67"/>
        <v>28960.632187362004</v>
      </c>
      <c r="AE103" s="34">
        <f t="shared" si="68"/>
        <v>45.012520319527695</v>
      </c>
      <c r="AF103" s="37">
        <f t="shared" si="69"/>
        <v>-2.0044266329155307</v>
      </c>
      <c r="AG103" s="25">
        <f t="shared" si="70"/>
        <v>-0.24557336708446931</v>
      </c>
      <c r="AH103" s="25">
        <f t="shared" si="71"/>
        <v>0.24557336708446931</v>
      </c>
    </row>
    <row r="104" spans="1:34" x14ac:dyDescent="0.2">
      <c r="A104" s="62" t="s">
        <v>155</v>
      </c>
      <c r="B104" s="73">
        <v>63</v>
      </c>
      <c r="C104" s="73" t="s">
        <v>27</v>
      </c>
      <c r="D104" s="50" t="s">
        <v>0</v>
      </c>
      <c r="E104" s="50">
        <v>42.63</v>
      </c>
      <c r="F104" s="50">
        <v>42.78</v>
      </c>
      <c r="G104" s="50">
        <v>1.7</v>
      </c>
      <c r="H104" s="50">
        <v>22.74</v>
      </c>
      <c r="I104" s="50">
        <v>5.93</v>
      </c>
      <c r="J104" s="73" t="s">
        <v>66</v>
      </c>
      <c r="K104" s="73">
        <v>118.8</v>
      </c>
      <c r="L104" s="73">
        <v>24</v>
      </c>
      <c r="M104" s="73">
        <v>-0.75</v>
      </c>
      <c r="N104" s="73">
        <v>0</v>
      </c>
      <c r="O104" s="73">
        <f t="shared" si="49"/>
        <v>-0.75</v>
      </c>
      <c r="P104" s="33">
        <v>-1.5009999999999999</v>
      </c>
      <c r="Q104" s="34">
        <v>0.28499999999999998</v>
      </c>
      <c r="R104" s="34">
        <v>0.23499999999999999</v>
      </c>
      <c r="S104" s="35">
        <f>G104</f>
        <v>1.7</v>
      </c>
      <c r="T104" s="35">
        <f>H104</f>
        <v>22.74</v>
      </c>
      <c r="U104" s="35">
        <f>((1.3375-1)/F104*1000)</f>
        <v>7.8892005610098161</v>
      </c>
      <c r="V104" s="35">
        <v>0</v>
      </c>
      <c r="W104" s="35">
        <f t="shared" si="60"/>
        <v>4.3273999999999999</v>
      </c>
      <c r="X104" s="35">
        <f t="shared" si="61"/>
        <v>42.019466666666673</v>
      </c>
      <c r="Y104" s="35">
        <f t="shared" si="62"/>
        <v>0</v>
      </c>
      <c r="Z104" s="35">
        <f t="shared" si="63"/>
        <v>72.559008505045469</v>
      </c>
      <c r="AA104" s="35">
        <f t="shared" si="64"/>
        <v>48.639500777480528</v>
      </c>
      <c r="AB104" s="36">
        <f t="shared" si="65"/>
        <v>23.919507727564941</v>
      </c>
      <c r="AC104" s="34">
        <f t="shared" si="66"/>
        <v>1194514.3936000001</v>
      </c>
      <c r="AD104" s="34">
        <f t="shared" si="67"/>
        <v>28468.351554239995</v>
      </c>
      <c r="AE104" s="34">
        <f t="shared" si="68"/>
        <v>41.959380448289167</v>
      </c>
      <c r="AF104" s="37">
        <f t="shared" si="69"/>
        <v>-6.0129573881993019E-2</v>
      </c>
      <c r="AG104" s="25">
        <f t="shared" si="70"/>
        <v>-0.68987042611800697</v>
      </c>
      <c r="AH104" s="25">
        <f t="shared" si="71"/>
        <v>0.68987042611800697</v>
      </c>
    </row>
    <row r="105" spans="1:34" x14ac:dyDescent="0.2">
      <c r="A105" s="62" t="s">
        <v>156</v>
      </c>
      <c r="B105" s="73">
        <v>66</v>
      </c>
      <c r="C105" s="73" t="s">
        <v>28</v>
      </c>
      <c r="D105" s="50" t="s">
        <v>0</v>
      </c>
      <c r="E105" s="50">
        <v>43.6</v>
      </c>
      <c r="F105" s="50">
        <v>43.64</v>
      </c>
      <c r="G105" s="50">
        <v>3.28</v>
      </c>
      <c r="H105" s="50">
        <v>22.87</v>
      </c>
      <c r="I105" s="50">
        <v>4.07</v>
      </c>
      <c r="J105" s="73" t="s">
        <v>6</v>
      </c>
      <c r="K105" s="73">
        <v>119</v>
      </c>
      <c r="L105" s="73">
        <v>23.5</v>
      </c>
      <c r="M105" s="73">
        <v>0</v>
      </c>
      <c r="N105" s="73">
        <v>0</v>
      </c>
      <c r="O105" s="73">
        <f t="shared" si="49"/>
        <v>0</v>
      </c>
      <c r="P105" s="33">
        <v>-0.76900000000000002</v>
      </c>
      <c r="Q105" s="34">
        <v>0.23400000000000001</v>
      </c>
      <c r="R105" s="34">
        <v>0.217</v>
      </c>
      <c r="S105" s="35">
        <f>G105</f>
        <v>3.28</v>
      </c>
      <c r="T105" s="35">
        <f>H105</f>
        <v>22.87</v>
      </c>
      <c r="U105" s="35">
        <f>((1.3375-1)/F105*1000)</f>
        <v>7.7337305224564599</v>
      </c>
      <c r="V105" s="35">
        <v>0</v>
      </c>
      <c r="W105" s="35">
        <f t="shared" si="60"/>
        <v>4.9613100000000001</v>
      </c>
      <c r="X105" s="35">
        <f t="shared" si="61"/>
        <v>42.86417777777779</v>
      </c>
      <c r="Y105" s="35">
        <f t="shared" si="62"/>
        <v>0</v>
      </c>
      <c r="Z105" s="35">
        <f t="shared" si="63"/>
        <v>74.600654765926492</v>
      </c>
      <c r="AA105" s="35">
        <f t="shared" si="64"/>
        <v>50.978926794526295</v>
      </c>
      <c r="AB105" s="36">
        <f t="shared" si="65"/>
        <v>23.621727971400198</v>
      </c>
      <c r="AC105" s="34">
        <f t="shared" si="66"/>
        <v>1222634.7687599999</v>
      </c>
      <c r="AD105" s="34">
        <f t="shared" si="67"/>
        <v>28466.33177457835</v>
      </c>
      <c r="AE105" s="34">
        <f t="shared" si="68"/>
        <v>42.950204418395245</v>
      </c>
      <c r="AF105" s="37">
        <f t="shared" si="69"/>
        <v>8.5937925205369955E-2</v>
      </c>
      <c r="AG105" s="25">
        <f t="shared" si="70"/>
        <v>-8.5937925205369955E-2</v>
      </c>
      <c r="AH105" s="25">
        <f t="shared" si="71"/>
        <v>8.5937925205369955E-2</v>
      </c>
    </row>
    <row r="106" spans="1:34" x14ac:dyDescent="0.2">
      <c r="A106" s="62" t="s">
        <v>157</v>
      </c>
      <c r="B106" s="73">
        <v>71</v>
      </c>
      <c r="C106" s="73" t="s">
        <v>27</v>
      </c>
      <c r="D106" s="50" t="s">
        <v>1</v>
      </c>
      <c r="E106" s="50">
        <v>46.49</v>
      </c>
      <c r="F106" s="50">
        <v>46.46</v>
      </c>
      <c r="G106" s="50">
        <v>3.62</v>
      </c>
      <c r="H106" s="50">
        <v>22.89</v>
      </c>
      <c r="I106" s="50">
        <v>4.37</v>
      </c>
      <c r="J106" s="73" t="s">
        <v>6</v>
      </c>
      <c r="K106" s="73">
        <v>119</v>
      </c>
      <c r="L106" s="73">
        <v>22.5</v>
      </c>
      <c r="M106" s="73">
        <v>-1.75</v>
      </c>
      <c r="N106" s="73">
        <v>-0.75</v>
      </c>
      <c r="O106" s="73">
        <f t="shared" si="49"/>
        <v>-2.125</v>
      </c>
      <c r="P106" s="33">
        <v>-0.76900000000000002</v>
      </c>
      <c r="Q106" s="34">
        <v>0.23400000000000001</v>
      </c>
      <c r="R106" s="34">
        <v>0.217</v>
      </c>
      <c r="S106" s="35">
        <f>G106</f>
        <v>3.62</v>
      </c>
      <c r="T106" s="35">
        <f>H106</f>
        <v>22.89</v>
      </c>
      <c r="U106" s="35">
        <f>((1.3375-1)/F106*1000)</f>
        <v>7.2643133878605228</v>
      </c>
      <c r="V106" s="35">
        <v>0</v>
      </c>
      <c r="W106" s="35">
        <f t="shared" si="60"/>
        <v>5.04521</v>
      </c>
      <c r="X106" s="35">
        <f t="shared" si="61"/>
        <v>45.634044444444456</v>
      </c>
      <c r="Y106" s="35">
        <f t="shared" si="62"/>
        <v>0</v>
      </c>
      <c r="Z106" s="35">
        <f t="shared" si="63"/>
        <v>74.867790542785883</v>
      </c>
      <c r="AA106" s="35">
        <f t="shared" si="64"/>
        <v>55.135577367522544</v>
      </c>
      <c r="AB106" s="36">
        <f t="shared" si="65"/>
        <v>19.73221317526334</v>
      </c>
      <c r="AC106" s="34">
        <f t="shared" si="66"/>
        <v>1248481.6125999999</v>
      </c>
      <c r="AD106" s="34">
        <f t="shared" si="67"/>
        <v>28555.34895849225</v>
      </c>
      <c r="AE106" s="34">
        <f t="shared" si="68"/>
        <v>43.721462287670846</v>
      </c>
      <c r="AF106" s="37">
        <f t="shared" si="69"/>
        <v>-1.9575089162734887</v>
      </c>
      <c r="AG106" s="25">
        <f t="shared" si="70"/>
        <v>-0.16749108372651134</v>
      </c>
      <c r="AH106" s="25">
        <f t="shared" si="71"/>
        <v>0.16749108372651134</v>
      </c>
    </row>
    <row r="107" spans="1:34" x14ac:dyDescent="0.2">
      <c r="A107" s="62" t="s">
        <v>158</v>
      </c>
      <c r="B107" s="73">
        <v>57</v>
      </c>
      <c r="C107" s="73" t="s">
        <v>27</v>
      </c>
      <c r="D107" s="50" t="s">
        <v>0</v>
      </c>
      <c r="E107" s="50">
        <v>47.22</v>
      </c>
      <c r="F107" s="50">
        <v>47.7</v>
      </c>
      <c r="G107" s="50">
        <v>2.82</v>
      </c>
      <c r="H107" s="50">
        <v>22.12</v>
      </c>
      <c r="I107" s="50">
        <v>4.58</v>
      </c>
      <c r="J107" s="73" t="s">
        <v>6</v>
      </c>
      <c r="K107" s="73">
        <v>119</v>
      </c>
      <c r="L107" s="73">
        <v>20</v>
      </c>
      <c r="M107" s="73">
        <v>0.5</v>
      </c>
      <c r="N107" s="73">
        <v>-1</v>
      </c>
      <c r="O107" s="73">
        <f t="shared" si="49"/>
        <v>0</v>
      </c>
      <c r="P107" s="33">
        <v>-0.76900000000000002</v>
      </c>
      <c r="Q107" s="34">
        <v>0.23400000000000001</v>
      </c>
      <c r="R107" s="34">
        <v>0.217</v>
      </c>
      <c r="S107" s="35">
        <f>G107</f>
        <v>2.82</v>
      </c>
      <c r="T107" s="35">
        <f>H107</f>
        <v>22.12</v>
      </c>
      <c r="U107" s="35">
        <f>((1.3375-1)/F107*1000)</f>
        <v>7.0754716981132049</v>
      </c>
      <c r="V107" s="35">
        <v>0</v>
      </c>
      <c r="W107" s="35">
        <f t="shared" si="60"/>
        <v>4.6909200000000002</v>
      </c>
      <c r="X107" s="35">
        <f t="shared" si="61"/>
        <v>46.852000000000018</v>
      </c>
      <c r="Y107" s="35">
        <f t="shared" si="62"/>
        <v>0</v>
      </c>
      <c r="Z107" s="35">
        <f t="shared" si="63"/>
        <v>76.653500930628582</v>
      </c>
      <c r="AA107" s="35">
        <f t="shared" si="64"/>
        <v>56.076951691283803</v>
      </c>
      <c r="AB107" s="36">
        <f t="shared" si="65"/>
        <v>20.576549239344779</v>
      </c>
      <c r="AC107" s="34">
        <f t="shared" si="66"/>
        <v>1319190.9824000001</v>
      </c>
      <c r="AD107" s="34">
        <f t="shared" si="67"/>
        <v>27917.151600928002</v>
      </c>
      <c r="AE107" s="34">
        <f t="shared" si="68"/>
        <v>47.253781519607053</v>
      </c>
      <c r="AF107" s="37">
        <f t="shared" si="69"/>
        <v>0.39985367380684361</v>
      </c>
      <c r="AG107" s="25">
        <f t="shared" si="70"/>
        <v>-0.39985367380684361</v>
      </c>
      <c r="AH107" s="25">
        <f t="shared" si="71"/>
        <v>0.39985367380684361</v>
      </c>
    </row>
    <row r="108" spans="1:34" x14ac:dyDescent="0.2">
      <c r="A108" s="62" t="s">
        <v>159</v>
      </c>
      <c r="B108" s="73">
        <v>73</v>
      </c>
      <c r="C108" s="73" t="s">
        <v>27</v>
      </c>
      <c r="D108" s="50" t="s">
        <v>0</v>
      </c>
      <c r="E108" s="50">
        <v>45.93</v>
      </c>
      <c r="F108" s="50">
        <v>46.15</v>
      </c>
      <c r="G108" s="50">
        <v>2.94</v>
      </c>
      <c r="H108" s="50">
        <v>22.84</v>
      </c>
      <c r="I108" s="50">
        <v>4.58</v>
      </c>
      <c r="J108" s="73" t="s">
        <v>60</v>
      </c>
      <c r="K108" s="73">
        <v>119.1</v>
      </c>
      <c r="L108" s="73">
        <v>21</v>
      </c>
      <c r="M108" s="73">
        <v>0.5</v>
      </c>
      <c r="N108" s="73">
        <v>-0.5</v>
      </c>
      <c r="O108" s="73">
        <f t="shared" si="49"/>
        <v>0.25</v>
      </c>
      <c r="P108" s="33">
        <v>-0.39900000000000002</v>
      </c>
      <c r="Q108" s="34">
        <v>0.20899999999999999</v>
      </c>
      <c r="R108" s="34">
        <v>0.21099999999999999</v>
      </c>
      <c r="S108" s="35">
        <f>G108</f>
        <v>2.94</v>
      </c>
      <c r="T108" s="35">
        <f>H108</f>
        <v>22.84</v>
      </c>
      <c r="U108" s="35">
        <f>((1.3375-1)/F108*1000)</f>
        <v>7.3131094257854805</v>
      </c>
      <c r="V108" s="35">
        <v>0</v>
      </c>
      <c r="W108" s="35">
        <f t="shared" si="60"/>
        <v>5.0347</v>
      </c>
      <c r="X108" s="35">
        <f t="shared" si="61"/>
        <v>45.329555555555565</v>
      </c>
      <c r="Y108" s="35">
        <f t="shared" si="62"/>
        <v>0</v>
      </c>
      <c r="Z108" s="35">
        <f t="shared" si="63"/>
        <v>75.033838239175978</v>
      </c>
      <c r="AA108" s="35">
        <f t="shared" si="64"/>
        <v>54.668187925470583</v>
      </c>
      <c r="AB108" s="36">
        <f t="shared" si="65"/>
        <v>20.365650313705395</v>
      </c>
      <c r="AC108" s="34">
        <f t="shared" si="66"/>
        <v>1285350.5031999999</v>
      </c>
      <c r="AD108" s="34">
        <f t="shared" si="67"/>
        <v>28631.708777889999</v>
      </c>
      <c r="AE108" s="34">
        <f t="shared" si="68"/>
        <v>44.892552979323902</v>
      </c>
      <c r="AF108" s="37">
        <f t="shared" si="69"/>
        <v>-0.43930631211344384</v>
      </c>
      <c r="AG108" s="25">
        <f t="shared" si="70"/>
        <v>0.68930631211344384</v>
      </c>
      <c r="AH108" s="25">
        <f t="shared" si="71"/>
        <v>0.68930631211344384</v>
      </c>
    </row>
    <row r="109" spans="1:34" x14ac:dyDescent="0.2">
      <c r="A109" s="62" t="s">
        <v>160</v>
      </c>
      <c r="B109" s="73">
        <v>63</v>
      </c>
      <c r="C109" s="73" t="s">
        <v>28</v>
      </c>
      <c r="D109" s="50" t="s">
        <v>0</v>
      </c>
      <c r="E109" s="50">
        <v>41.92</v>
      </c>
      <c r="F109" s="50">
        <v>41.85</v>
      </c>
      <c r="G109" s="50">
        <v>3.78</v>
      </c>
      <c r="H109" s="50">
        <v>24.45</v>
      </c>
      <c r="I109" s="50">
        <v>4.0599999999999996</v>
      </c>
      <c r="J109" s="73" t="s">
        <v>60</v>
      </c>
      <c r="K109" s="73">
        <v>119.1</v>
      </c>
      <c r="L109" s="73">
        <v>21.5</v>
      </c>
      <c r="M109" s="73">
        <v>0</v>
      </c>
      <c r="N109" s="73">
        <v>-0.5</v>
      </c>
      <c r="O109" s="73">
        <f t="shared" si="49"/>
        <v>-0.25</v>
      </c>
      <c r="P109" s="33">
        <v>-0.39900000000000002</v>
      </c>
      <c r="Q109" s="34">
        <v>0.20899999999999999</v>
      </c>
      <c r="R109" s="34">
        <v>0.21099999999999999</v>
      </c>
      <c r="S109" s="35">
        <f>G109</f>
        <v>3.78</v>
      </c>
      <c r="T109" s="35">
        <f>H109</f>
        <v>24.45</v>
      </c>
      <c r="U109" s="35">
        <f>((1.3375-1)/F109*1000)</f>
        <v>8.0645161290322562</v>
      </c>
      <c r="V109" s="35">
        <v>0</v>
      </c>
      <c r="W109" s="35">
        <f t="shared" si="60"/>
        <v>5.5499700000000001</v>
      </c>
      <c r="X109" s="35">
        <f t="shared" si="61"/>
        <v>41.106000000000009</v>
      </c>
      <c r="Y109" s="35">
        <f t="shared" si="62"/>
        <v>0</v>
      </c>
      <c r="Z109" s="35">
        <f t="shared" si="63"/>
        <v>70.687718485102934</v>
      </c>
      <c r="AA109" s="35">
        <f t="shared" si="64"/>
        <v>49.570767606029541</v>
      </c>
      <c r="AB109" s="36">
        <f t="shared" si="65"/>
        <v>21.116950879073393</v>
      </c>
      <c r="AC109" s="34">
        <f t="shared" si="66"/>
        <v>1242011.53828</v>
      </c>
      <c r="AD109" s="34">
        <f t="shared" si="67"/>
        <v>30409.96611076935</v>
      </c>
      <c r="AE109" s="34">
        <f t="shared" si="68"/>
        <v>40.84225328485833</v>
      </c>
      <c r="AF109" s="37">
        <f t="shared" si="69"/>
        <v>-0.2645841134312325</v>
      </c>
      <c r="AG109" s="25">
        <f t="shared" si="70"/>
        <v>1.4584113431232504E-2</v>
      </c>
      <c r="AH109" s="25">
        <f t="shared" si="71"/>
        <v>1.4584113431232504E-2</v>
      </c>
    </row>
    <row r="110" spans="1:34" x14ac:dyDescent="0.2">
      <c r="A110" s="62" t="s">
        <v>161</v>
      </c>
      <c r="B110" s="73">
        <v>75</v>
      </c>
      <c r="C110" s="73" t="s">
        <v>27</v>
      </c>
      <c r="D110" s="50" t="s">
        <v>0</v>
      </c>
      <c r="E110" s="50">
        <v>45.13</v>
      </c>
      <c r="F110" s="50">
        <v>45.51</v>
      </c>
      <c r="G110" s="50">
        <v>2.86</v>
      </c>
      <c r="H110" s="50">
        <v>22.8</v>
      </c>
      <c r="I110" s="50">
        <v>4.43</v>
      </c>
      <c r="J110" s="73" t="s">
        <v>6</v>
      </c>
      <c r="K110" s="73">
        <v>119</v>
      </c>
      <c r="L110" s="73">
        <v>25.5</v>
      </c>
      <c r="M110" s="73">
        <v>-2.25</v>
      </c>
      <c r="N110" s="73">
        <v>0</v>
      </c>
      <c r="O110" s="73">
        <f t="shared" si="49"/>
        <v>-2.25</v>
      </c>
      <c r="P110" s="33">
        <v>-0.76900000000000002</v>
      </c>
      <c r="Q110" s="34">
        <v>0.23400000000000001</v>
      </c>
      <c r="R110" s="34">
        <v>0.217</v>
      </c>
      <c r="S110" s="35">
        <f>G110</f>
        <v>2.86</v>
      </c>
      <c r="T110" s="35">
        <f>H110</f>
        <v>22.8</v>
      </c>
      <c r="U110" s="35">
        <f>((1.3375-1)/F110*1000)</f>
        <v>7.4159525379037561</v>
      </c>
      <c r="V110" s="35">
        <v>0</v>
      </c>
      <c r="W110" s="35">
        <f t="shared" si="60"/>
        <v>4.8478400000000006</v>
      </c>
      <c r="X110" s="35">
        <f t="shared" si="61"/>
        <v>44.700933333333339</v>
      </c>
      <c r="Y110" s="35">
        <f t="shared" si="62"/>
        <v>0</v>
      </c>
      <c r="Z110" s="35">
        <f t="shared" si="63"/>
        <v>74.420014081870931</v>
      </c>
      <c r="AA110" s="35">
        <f t="shared" si="64"/>
        <v>53.355316304877988</v>
      </c>
      <c r="AB110" s="36">
        <f t="shared" si="65"/>
        <v>21.064697776992944</v>
      </c>
      <c r="AC110" s="34">
        <f t="shared" si="66"/>
        <v>1173301.8131200001</v>
      </c>
      <c r="AD110" s="34">
        <f t="shared" si="67"/>
        <v>28241.555416972798</v>
      </c>
      <c r="AE110" s="34">
        <f t="shared" si="68"/>
        <v>41.545226379948652</v>
      </c>
      <c r="AF110" s="37">
        <f t="shared" si="69"/>
        <v>-3.2799122563509888</v>
      </c>
      <c r="AG110" s="25">
        <f t="shared" si="70"/>
        <v>1.0299122563509888</v>
      </c>
      <c r="AH110" s="25">
        <f t="shared" si="71"/>
        <v>1.0299122563509888</v>
      </c>
    </row>
    <row r="111" spans="1:34" x14ac:dyDescent="0.2">
      <c r="A111" s="62" t="s">
        <v>162</v>
      </c>
      <c r="B111" s="73">
        <v>72</v>
      </c>
      <c r="C111" s="73" t="s">
        <v>28</v>
      </c>
      <c r="D111" s="50" t="s">
        <v>1</v>
      </c>
      <c r="E111" s="50">
        <v>44.13</v>
      </c>
      <c r="F111" s="50">
        <v>44.35</v>
      </c>
      <c r="G111" s="50">
        <v>2.79</v>
      </c>
      <c r="H111" s="50">
        <v>22.84</v>
      </c>
      <c r="I111" s="50">
        <v>4.68</v>
      </c>
      <c r="J111" s="73" t="s">
        <v>30</v>
      </c>
      <c r="K111" s="73">
        <v>119.2</v>
      </c>
      <c r="L111" s="73">
        <v>23.5</v>
      </c>
      <c r="M111" s="73">
        <v>-0.5</v>
      </c>
      <c r="N111" s="73">
        <v>-0.5</v>
      </c>
      <c r="O111" s="73">
        <f t="shared" si="49"/>
        <v>-0.75</v>
      </c>
      <c r="P111" s="33">
        <v>1.024</v>
      </c>
      <c r="Q111" s="34">
        <v>0.21240000000000001</v>
      </c>
      <c r="R111" s="34">
        <v>0.151</v>
      </c>
      <c r="S111" s="35">
        <f>G111</f>
        <v>2.79</v>
      </c>
      <c r="T111" s="35">
        <f>H111</f>
        <v>22.84</v>
      </c>
      <c r="U111" s="35">
        <f>((1.3375-1)/F111*1000)</f>
        <v>7.6099210822998851</v>
      </c>
      <c r="V111" s="35">
        <v>0</v>
      </c>
      <c r="W111" s="35">
        <f t="shared" si="60"/>
        <v>5.065436</v>
      </c>
      <c r="X111" s="35">
        <f t="shared" si="61"/>
        <v>43.561555555555572</v>
      </c>
      <c r="Y111" s="35">
        <f t="shared" si="62"/>
        <v>0</v>
      </c>
      <c r="Z111" s="35">
        <f t="shared" si="63"/>
        <v>75.16358769756603</v>
      </c>
      <c r="AA111" s="35">
        <f t="shared" si="64"/>
        <v>52.1797371576355</v>
      </c>
      <c r="AB111" s="36">
        <f t="shared" si="65"/>
        <v>22.983850539930529</v>
      </c>
      <c r="AC111" s="34">
        <f t="shared" si="66"/>
        <v>1226845.788656</v>
      </c>
      <c r="AD111" s="34">
        <f t="shared" si="67"/>
        <v>28398.395965307256</v>
      </c>
      <c r="AE111" s="34">
        <f t="shared" si="68"/>
        <v>43.201235385081944</v>
      </c>
      <c r="AF111" s="37">
        <f t="shared" si="69"/>
        <v>-0.36188490363566583</v>
      </c>
      <c r="AG111" s="25">
        <f t="shared" si="70"/>
        <v>-0.38811509636433417</v>
      </c>
      <c r="AH111" s="25">
        <f t="shared" si="71"/>
        <v>0.38811509636433417</v>
      </c>
    </row>
    <row r="112" spans="1:34" ht="17" thickBot="1" x14ac:dyDescent="0.25">
      <c r="AG112" s="60" t="s">
        <v>163</v>
      </c>
      <c r="AH112" s="60"/>
    </row>
    <row r="113" spans="2:34" x14ac:dyDescent="0.2">
      <c r="B113" s="75">
        <f>AVERAGE(B70:B111)</f>
        <v>66.928571428571431</v>
      </c>
      <c r="C113" s="54">
        <f>COUNTIF(C70:C111,"=F")</f>
        <v>29</v>
      </c>
      <c r="AG113" s="3" t="s">
        <v>14</v>
      </c>
      <c r="AH113" s="4" t="s">
        <v>13</v>
      </c>
    </row>
    <row r="114" spans="2:34" x14ac:dyDescent="0.2">
      <c r="B114" s="75">
        <f>STDEV(B70:B111)</f>
        <v>6.3222134790958551</v>
      </c>
      <c r="AG114" s="5">
        <f>AVERAGE(AG70:AG111)</f>
        <v>-0.14848528299585068</v>
      </c>
      <c r="AH114" s="6">
        <f>AVERAGE(AH70:AH111)</f>
        <v>0.38066739497305058</v>
      </c>
    </row>
    <row r="115" spans="2:34" x14ac:dyDescent="0.2">
      <c r="AG115" s="7">
        <f>STDEV(AG70:AG111)</f>
        <v>0.46226558350941283</v>
      </c>
      <c r="AH115" s="8" t="s">
        <v>15</v>
      </c>
    </row>
    <row r="116" spans="2:34" x14ac:dyDescent="0.2">
      <c r="AG116" s="9"/>
      <c r="AH116" s="10">
        <f>MEDIAN(AH70:AH111)</f>
        <v>0.34217950642463624</v>
      </c>
    </row>
    <row r="117" spans="2:34" x14ac:dyDescent="0.2">
      <c r="AG117" s="11" t="s">
        <v>16</v>
      </c>
      <c r="AH117" s="12">
        <f>COUNT(AH70:AH111)</f>
        <v>42</v>
      </c>
    </row>
    <row r="118" spans="2:34" x14ac:dyDescent="0.2">
      <c r="AG118" s="13" t="s">
        <v>17</v>
      </c>
      <c r="AH118" s="14">
        <f>COUNTIF(AH70:AH111,"&lt;0.26")</f>
        <v>18</v>
      </c>
    </row>
    <row r="119" spans="2:34" x14ac:dyDescent="0.2">
      <c r="AG119" s="15" t="s">
        <v>18</v>
      </c>
      <c r="AH119" s="16">
        <f>AH118*100/AH117</f>
        <v>42.857142857142854</v>
      </c>
    </row>
    <row r="120" spans="2:34" x14ac:dyDescent="0.2">
      <c r="AG120" s="13" t="s">
        <v>19</v>
      </c>
      <c r="AH120" s="14">
        <f>COUNTIF(AH70:AH111,"&lt;0.51")</f>
        <v>28</v>
      </c>
    </row>
    <row r="121" spans="2:34" x14ac:dyDescent="0.2">
      <c r="AG121" s="15" t="s">
        <v>18</v>
      </c>
      <c r="AH121" s="16">
        <f>AH120*100/AH117</f>
        <v>66.666666666666671</v>
      </c>
    </row>
    <row r="122" spans="2:34" x14ac:dyDescent="0.2">
      <c r="AG122" s="13" t="s">
        <v>20</v>
      </c>
      <c r="AH122" s="14">
        <f>COUNTIF(AH70:AH111,"&lt;0.76")</f>
        <v>37</v>
      </c>
    </row>
    <row r="123" spans="2:34" x14ac:dyDescent="0.2">
      <c r="AG123" s="15" t="s">
        <v>18</v>
      </c>
      <c r="AH123" s="16">
        <f>AH122*100/AH117</f>
        <v>88.095238095238102</v>
      </c>
    </row>
    <row r="124" spans="2:34" x14ac:dyDescent="0.2">
      <c r="AG124" s="13" t="s">
        <v>21</v>
      </c>
      <c r="AH124" s="14">
        <f>COUNTIF(AH70:AH111,"&lt;1.01")</f>
        <v>41</v>
      </c>
    </row>
    <row r="125" spans="2:34" ht="17" thickBot="1" x14ac:dyDescent="0.25">
      <c r="AG125" s="17" t="s">
        <v>18</v>
      </c>
      <c r="AH125" s="18">
        <f>AH124*100/AH117</f>
        <v>97.61904761904762</v>
      </c>
    </row>
  </sheetData>
  <mergeCells count="4">
    <mergeCell ref="AG112:AH112"/>
    <mergeCell ref="AG54:AH54"/>
    <mergeCell ref="E1:I1"/>
    <mergeCell ref="M1:O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TK Italy Colombia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Savini</dc:creator>
  <cp:lastModifiedBy>Giacomo Savini</cp:lastModifiedBy>
  <dcterms:created xsi:type="dcterms:W3CDTF">2019-07-01T15:20:49Z</dcterms:created>
  <dcterms:modified xsi:type="dcterms:W3CDTF">2023-04-19T04:07:55Z</dcterms:modified>
</cp:coreProperties>
</file>