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edwardbraun/IN_PROGRESS/bacterial-models-Gabby/01-manuscript/Scolaro_Braun_2022_supplementary_data/"/>
    </mc:Choice>
  </mc:AlternateContent>
  <xr:revisionPtr revIDLastSave="0" documentId="13_ncr:1_{4B0AEB14-AEC4-C342-A941-995D15676985}" xr6:coauthVersionLast="45" xr6:coauthVersionMax="45" xr10:uidLastSave="{00000000-0000-0000-0000-000000000000}"/>
  <bookViews>
    <workbookView xWindow="220" yWindow="680" windowWidth="26420" windowHeight="16680" activeTab="4" xr2:uid="{82B05BA9-D2F3-594A-82CC-F92AFF612300}"/>
  </bookViews>
  <sheets>
    <sheet name="1. Validation" sheetId="1" r:id="rId1"/>
    <sheet name="2. Training" sheetId="3" r:id="rId2"/>
    <sheet name="3. Validation - all models" sheetId="2" r:id="rId3"/>
    <sheet name="4. Training - all models" sheetId="5" r:id="rId4"/>
    <sheet name="README"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3" i="2" l="1"/>
  <c r="O22" i="2"/>
  <c r="J23" i="2"/>
  <c r="J22" i="2"/>
  <c r="E23" i="2"/>
  <c r="E22" i="2"/>
  <c r="D23" i="2"/>
  <c r="D22" i="2"/>
  <c r="O18" i="5"/>
  <c r="N18" i="5"/>
  <c r="M18" i="5"/>
  <c r="L18" i="5"/>
  <c r="K18" i="5"/>
  <c r="J18" i="5"/>
  <c r="I18" i="5"/>
  <c r="H18" i="5"/>
  <c r="G18" i="5"/>
  <c r="F18" i="5"/>
  <c r="E18" i="5"/>
  <c r="D18" i="5"/>
  <c r="O17" i="5"/>
  <c r="N17" i="5"/>
  <c r="M17" i="5"/>
  <c r="L17" i="5"/>
  <c r="K17" i="5"/>
  <c r="J17" i="5"/>
  <c r="I17" i="5"/>
  <c r="H17" i="5"/>
  <c r="G17" i="5"/>
  <c r="F17" i="5"/>
  <c r="E17" i="5"/>
  <c r="D17" i="5"/>
  <c r="O16" i="5"/>
  <c r="N16" i="5"/>
  <c r="M16" i="5"/>
  <c r="L16" i="5"/>
  <c r="K16" i="5"/>
  <c r="J16" i="5"/>
  <c r="I16" i="5"/>
  <c r="H16" i="5"/>
  <c r="G16" i="5"/>
  <c r="F16" i="5"/>
  <c r="E16" i="5"/>
  <c r="D16" i="5"/>
  <c r="O15" i="5"/>
  <c r="N15" i="5"/>
  <c r="M15" i="5"/>
  <c r="L15" i="5"/>
  <c r="K15" i="5"/>
  <c r="J15" i="5"/>
  <c r="I15" i="5"/>
  <c r="H15" i="5"/>
  <c r="G15" i="5"/>
  <c r="F15" i="5"/>
  <c r="E15" i="5"/>
  <c r="D15" i="5"/>
  <c r="O14" i="5"/>
  <c r="N14" i="5"/>
  <c r="M14" i="5"/>
  <c r="L14" i="5"/>
  <c r="K14" i="5"/>
  <c r="J14" i="5"/>
  <c r="I14" i="5"/>
  <c r="H14" i="5"/>
  <c r="G14" i="5"/>
  <c r="F14" i="5"/>
  <c r="E14" i="5"/>
  <c r="D14" i="5"/>
  <c r="O13" i="5"/>
  <c r="N13" i="5"/>
  <c r="M13" i="5"/>
  <c r="L13" i="5"/>
  <c r="K13" i="5"/>
  <c r="J13" i="5"/>
  <c r="I13" i="5"/>
  <c r="H13" i="5"/>
  <c r="G13" i="5"/>
  <c r="F13" i="5"/>
  <c r="E13" i="5"/>
  <c r="D13" i="5"/>
  <c r="O20" i="5"/>
  <c r="N20" i="5"/>
  <c r="M20" i="5"/>
  <c r="L20" i="5"/>
  <c r="K20" i="5"/>
  <c r="J20" i="5"/>
  <c r="I20" i="5"/>
  <c r="H20" i="5"/>
  <c r="G20" i="5"/>
  <c r="F20" i="5"/>
  <c r="E20" i="5"/>
  <c r="D20" i="5"/>
  <c r="O19" i="5"/>
  <c r="N19" i="5"/>
  <c r="M19" i="5"/>
  <c r="L19" i="5"/>
  <c r="K19" i="5"/>
  <c r="J19" i="5"/>
  <c r="I19" i="5"/>
  <c r="H19" i="5"/>
  <c r="G19" i="5"/>
  <c r="F19" i="5"/>
  <c r="E19" i="5"/>
  <c r="D19" i="5"/>
  <c r="O12" i="5"/>
  <c r="N12" i="5"/>
  <c r="M12" i="5"/>
  <c r="L12" i="5"/>
  <c r="K12" i="5"/>
  <c r="J12" i="5"/>
  <c r="I12" i="5"/>
  <c r="H12" i="5"/>
  <c r="G12" i="5"/>
  <c r="F12" i="5"/>
  <c r="E12" i="5"/>
  <c r="D12" i="5"/>
  <c r="O11" i="5"/>
  <c r="N11" i="5"/>
  <c r="L11" i="5"/>
  <c r="K11" i="5"/>
  <c r="J11" i="5"/>
  <c r="I11" i="5"/>
  <c r="H11" i="5"/>
  <c r="G11" i="5"/>
  <c r="F11" i="5"/>
  <c r="E11" i="5"/>
  <c r="D11" i="5"/>
  <c r="O10" i="5"/>
  <c r="N10" i="5"/>
  <c r="M10" i="5"/>
  <c r="L10" i="5"/>
  <c r="K10" i="5"/>
  <c r="J10" i="5"/>
  <c r="I10" i="5"/>
  <c r="H10" i="5"/>
  <c r="G10" i="5"/>
  <c r="F10" i="5"/>
  <c r="E10" i="5"/>
  <c r="D10" i="5"/>
  <c r="O9" i="5"/>
  <c r="N9" i="5"/>
  <c r="M9" i="5"/>
  <c r="L9" i="5"/>
  <c r="K9" i="5"/>
  <c r="J9" i="5"/>
  <c r="I9" i="5"/>
  <c r="H9" i="5"/>
  <c r="G9" i="5"/>
  <c r="F9" i="5"/>
  <c r="E9" i="5"/>
  <c r="D9" i="5"/>
  <c r="O8" i="5"/>
  <c r="N8" i="5"/>
  <c r="M8" i="5"/>
  <c r="L8" i="5"/>
  <c r="K8" i="5"/>
  <c r="J8" i="5"/>
  <c r="I8" i="5"/>
  <c r="H8" i="5"/>
  <c r="G8" i="5"/>
  <c r="F8" i="5"/>
  <c r="E8" i="5"/>
  <c r="D8" i="5"/>
  <c r="O6" i="5"/>
  <c r="N6" i="5"/>
  <c r="M6" i="5"/>
  <c r="L6" i="5"/>
  <c r="K6" i="5"/>
  <c r="J6" i="5"/>
  <c r="I6" i="5"/>
  <c r="H6" i="5"/>
  <c r="G6" i="5"/>
  <c r="F6" i="5"/>
  <c r="E6" i="5"/>
  <c r="D6" i="5"/>
  <c r="O5" i="5"/>
  <c r="N5" i="5"/>
  <c r="M5" i="5"/>
  <c r="L5" i="5"/>
  <c r="K5" i="5"/>
  <c r="J5" i="5"/>
  <c r="I5" i="5"/>
  <c r="H5" i="5"/>
  <c r="G5" i="5"/>
  <c r="F5" i="5"/>
  <c r="E5" i="5"/>
  <c r="D5" i="5"/>
  <c r="O4" i="5"/>
  <c r="N4" i="5"/>
  <c r="M4" i="5"/>
  <c r="L4" i="5"/>
  <c r="K4" i="5"/>
  <c r="J4" i="5"/>
  <c r="I4" i="5"/>
  <c r="H4" i="5"/>
  <c r="G4" i="5"/>
  <c r="F4" i="5"/>
  <c r="E4" i="5"/>
  <c r="D4" i="5"/>
  <c r="O3" i="5"/>
  <c r="N3" i="5"/>
  <c r="M3" i="5"/>
  <c r="L3" i="5"/>
  <c r="K3" i="5"/>
  <c r="J3" i="5"/>
  <c r="I3" i="5"/>
  <c r="H3" i="5"/>
  <c r="G3" i="5"/>
  <c r="F3" i="5"/>
  <c r="E3" i="5"/>
  <c r="D3" i="5"/>
  <c r="O2" i="5"/>
  <c r="O23" i="5" s="1"/>
  <c r="N2" i="5"/>
  <c r="M2" i="5"/>
  <c r="L2" i="5"/>
  <c r="K2" i="5"/>
  <c r="J2" i="5"/>
  <c r="J23" i="5" s="1"/>
  <c r="I2" i="5"/>
  <c r="H2" i="5"/>
  <c r="G2" i="5"/>
  <c r="F2" i="5"/>
  <c r="E2" i="5"/>
  <c r="E23" i="5" s="1"/>
  <c r="D2" i="5"/>
  <c r="D23" i="5" s="1"/>
  <c r="O7" i="5"/>
  <c r="N7" i="5"/>
  <c r="M7" i="5"/>
  <c r="L7" i="5"/>
  <c r="K7" i="5"/>
  <c r="J7" i="5"/>
  <c r="I7" i="5"/>
  <c r="H7" i="5"/>
  <c r="G7" i="5"/>
  <c r="F7" i="5"/>
  <c r="E7" i="5"/>
  <c r="D7" i="5"/>
  <c r="P18" i="3"/>
  <c r="O18" i="3"/>
  <c r="N18" i="3"/>
  <c r="L18" i="3"/>
  <c r="K18" i="3"/>
  <c r="J18" i="3"/>
  <c r="I18" i="3"/>
  <c r="H18" i="3"/>
  <c r="G18" i="3"/>
  <c r="F18" i="3"/>
  <c r="E18" i="3"/>
  <c r="D18" i="3"/>
  <c r="C18" i="3"/>
  <c r="P17" i="3"/>
  <c r="O17" i="3"/>
  <c r="N17" i="3"/>
  <c r="L17" i="3"/>
  <c r="K17" i="3"/>
  <c r="J17" i="3"/>
  <c r="I17" i="3"/>
  <c r="H17" i="3"/>
  <c r="G17" i="3"/>
  <c r="F17" i="3"/>
  <c r="E17" i="3"/>
  <c r="D17" i="3"/>
  <c r="C17" i="3"/>
  <c r="P16" i="3"/>
  <c r="O16" i="3"/>
  <c r="N16" i="3"/>
  <c r="L16" i="3"/>
  <c r="K16" i="3"/>
  <c r="J16" i="3"/>
  <c r="I16" i="3"/>
  <c r="H16" i="3"/>
  <c r="G16" i="3"/>
  <c r="F16" i="3"/>
  <c r="E16" i="3"/>
  <c r="D16" i="3"/>
  <c r="C16" i="3"/>
  <c r="P15" i="3"/>
  <c r="O15" i="3"/>
  <c r="N15" i="3"/>
  <c r="L15" i="3"/>
  <c r="K15" i="3"/>
  <c r="J15" i="3"/>
  <c r="I15" i="3"/>
  <c r="H15" i="3"/>
  <c r="G15" i="3"/>
  <c r="F15" i="3"/>
  <c r="E15" i="3"/>
  <c r="D15" i="3"/>
  <c r="C15" i="3"/>
  <c r="P14" i="3"/>
  <c r="O14" i="3"/>
  <c r="N14" i="3"/>
  <c r="L14" i="3"/>
  <c r="K14" i="3"/>
  <c r="J14" i="3"/>
  <c r="I14" i="3"/>
  <c r="H14" i="3"/>
  <c r="G14" i="3"/>
  <c r="F14" i="3"/>
  <c r="E14" i="3"/>
  <c r="D14" i="3"/>
  <c r="C14" i="3"/>
  <c r="P13" i="3"/>
  <c r="O13" i="3"/>
  <c r="N13" i="3"/>
  <c r="L13" i="3"/>
  <c r="K13" i="3"/>
  <c r="J13" i="3"/>
  <c r="I13" i="3"/>
  <c r="H13" i="3"/>
  <c r="G13" i="3"/>
  <c r="F13" i="3"/>
  <c r="E13" i="3"/>
  <c r="D13" i="3"/>
  <c r="C13" i="3"/>
  <c r="P20" i="3"/>
  <c r="O20" i="3"/>
  <c r="N20" i="3"/>
  <c r="L20" i="3"/>
  <c r="K20" i="3"/>
  <c r="J20" i="3"/>
  <c r="I20" i="3"/>
  <c r="H20" i="3"/>
  <c r="G20" i="3"/>
  <c r="F20" i="3"/>
  <c r="E20" i="3"/>
  <c r="D20" i="3"/>
  <c r="C20" i="3"/>
  <c r="P19" i="3"/>
  <c r="O19" i="3"/>
  <c r="N19" i="3"/>
  <c r="L19" i="3"/>
  <c r="K19" i="3"/>
  <c r="J19" i="3"/>
  <c r="I19" i="3"/>
  <c r="H19" i="3"/>
  <c r="G19" i="3"/>
  <c r="F19" i="3"/>
  <c r="E19" i="3"/>
  <c r="D19" i="3"/>
  <c r="C19" i="3"/>
  <c r="P12" i="3"/>
  <c r="O12" i="3"/>
  <c r="N12" i="3"/>
  <c r="L12" i="3"/>
  <c r="K12" i="3"/>
  <c r="J12" i="3"/>
  <c r="I12" i="3"/>
  <c r="H12" i="3"/>
  <c r="G12" i="3"/>
  <c r="F12" i="3"/>
  <c r="E12" i="3"/>
  <c r="D12" i="3"/>
  <c r="C12" i="3"/>
  <c r="P11" i="3"/>
  <c r="O11" i="3"/>
  <c r="L11" i="3"/>
  <c r="K11" i="3"/>
  <c r="I11" i="3"/>
  <c r="H11" i="3"/>
  <c r="G11" i="3"/>
  <c r="F11" i="3"/>
  <c r="E11" i="3"/>
  <c r="D11" i="3"/>
  <c r="C11" i="3"/>
  <c r="P10" i="3"/>
  <c r="O10" i="3"/>
  <c r="N10" i="3"/>
  <c r="L10" i="3"/>
  <c r="K10" i="3"/>
  <c r="J10" i="3"/>
  <c r="I10" i="3"/>
  <c r="H10" i="3"/>
  <c r="G10" i="3"/>
  <c r="F10" i="3"/>
  <c r="E10" i="3"/>
  <c r="D10" i="3"/>
  <c r="C10" i="3"/>
  <c r="P9" i="3"/>
  <c r="O9" i="3"/>
  <c r="N9" i="3"/>
  <c r="L9" i="3"/>
  <c r="K9" i="3"/>
  <c r="J9" i="3"/>
  <c r="I9" i="3"/>
  <c r="H9" i="3"/>
  <c r="G9" i="3"/>
  <c r="F9" i="3"/>
  <c r="E9" i="3"/>
  <c r="D9" i="3"/>
  <c r="C9" i="3"/>
  <c r="P8" i="3"/>
  <c r="O8" i="3"/>
  <c r="N8" i="3"/>
  <c r="L8" i="3"/>
  <c r="K8" i="3"/>
  <c r="J8" i="3"/>
  <c r="I8" i="3"/>
  <c r="H8" i="3"/>
  <c r="G8" i="3"/>
  <c r="F8" i="3"/>
  <c r="E8" i="3"/>
  <c r="D8" i="3"/>
  <c r="C8" i="3"/>
  <c r="P6" i="3"/>
  <c r="O6" i="3"/>
  <c r="N6" i="3"/>
  <c r="L6" i="3"/>
  <c r="K6" i="3"/>
  <c r="J6" i="3"/>
  <c r="I6" i="3"/>
  <c r="H6" i="3"/>
  <c r="G6" i="3"/>
  <c r="F6" i="3"/>
  <c r="E6" i="3"/>
  <c r="D6" i="3"/>
  <c r="C6" i="3"/>
  <c r="P5" i="3"/>
  <c r="O5" i="3"/>
  <c r="N5" i="3"/>
  <c r="L5" i="3"/>
  <c r="K5" i="3"/>
  <c r="J5" i="3"/>
  <c r="I5" i="3"/>
  <c r="H5" i="3"/>
  <c r="G5" i="3"/>
  <c r="F5" i="3"/>
  <c r="E5" i="3"/>
  <c r="D5" i="3"/>
  <c r="C5" i="3"/>
  <c r="P4" i="3"/>
  <c r="O4" i="3"/>
  <c r="N4" i="3"/>
  <c r="L4" i="3"/>
  <c r="K4" i="3"/>
  <c r="J4" i="3"/>
  <c r="I4" i="3"/>
  <c r="H4" i="3"/>
  <c r="G4" i="3"/>
  <c r="G22" i="3" s="1"/>
  <c r="F4" i="3"/>
  <c r="E4" i="3"/>
  <c r="D4" i="3"/>
  <c r="C4" i="3"/>
  <c r="P3" i="3"/>
  <c r="O3" i="3"/>
  <c r="N3" i="3"/>
  <c r="L3" i="3"/>
  <c r="L22" i="3" s="1"/>
  <c r="K3" i="3"/>
  <c r="J3" i="3"/>
  <c r="I3" i="3"/>
  <c r="H3" i="3"/>
  <c r="G3" i="3"/>
  <c r="F3" i="3"/>
  <c r="E3" i="3"/>
  <c r="D3" i="3"/>
  <c r="C3" i="3"/>
  <c r="P2" i="3"/>
  <c r="O2" i="3"/>
  <c r="N2" i="3"/>
  <c r="L2" i="3"/>
  <c r="L23" i="3" s="1"/>
  <c r="K2" i="3"/>
  <c r="J2" i="3"/>
  <c r="I2" i="3"/>
  <c r="H2" i="3"/>
  <c r="G2" i="3"/>
  <c r="G23" i="3" s="1"/>
  <c r="F2" i="3"/>
  <c r="E2" i="3"/>
  <c r="D2" i="3"/>
  <c r="C2" i="3"/>
  <c r="P7" i="3"/>
  <c r="O7" i="3"/>
  <c r="N7" i="3"/>
  <c r="L7" i="3"/>
  <c r="K7" i="3"/>
  <c r="J7" i="3"/>
  <c r="I7" i="3"/>
  <c r="H7" i="3"/>
  <c r="G7" i="3"/>
  <c r="F7" i="3"/>
  <c r="E7" i="3"/>
  <c r="D7" i="3"/>
  <c r="C7" i="3"/>
  <c r="Q20" i="1"/>
  <c r="P20" i="1"/>
  <c r="O20" i="1"/>
  <c r="M20" i="1"/>
  <c r="L20" i="1"/>
  <c r="K20" i="1"/>
  <c r="J20" i="1"/>
  <c r="I20" i="1"/>
  <c r="H20" i="1"/>
  <c r="G20" i="1"/>
  <c r="F20" i="1"/>
  <c r="W20" i="1" s="1"/>
  <c r="E20" i="1"/>
  <c r="V20" i="1" s="1"/>
  <c r="D20" i="1"/>
  <c r="U20" i="1" s="1"/>
  <c r="Q19" i="1"/>
  <c r="P19" i="1"/>
  <c r="O19" i="1"/>
  <c r="M19" i="1"/>
  <c r="L19" i="1"/>
  <c r="K19" i="1"/>
  <c r="J19" i="1"/>
  <c r="I19" i="1"/>
  <c r="U19" i="1" s="1"/>
  <c r="H19" i="1"/>
  <c r="G19" i="1"/>
  <c r="F19" i="1"/>
  <c r="W19" i="1" s="1"/>
  <c r="E19" i="1"/>
  <c r="D19" i="1"/>
  <c r="Q18" i="1"/>
  <c r="P18" i="1"/>
  <c r="O18" i="1"/>
  <c r="M18" i="1"/>
  <c r="L18" i="1"/>
  <c r="K18" i="1"/>
  <c r="J18" i="1"/>
  <c r="V18" i="1" s="1"/>
  <c r="I18" i="1"/>
  <c r="H18" i="1"/>
  <c r="G18" i="1"/>
  <c r="X18" i="1" s="1"/>
  <c r="F18" i="1"/>
  <c r="E18" i="1"/>
  <c r="D18" i="1"/>
  <c r="Q17" i="1"/>
  <c r="P17" i="1"/>
  <c r="O17" i="1"/>
  <c r="M17" i="1"/>
  <c r="L17" i="1"/>
  <c r="K17" i="1"/>
  <c r="W17" i="1" s="1"/>
  <c r="J17" i="1"/>
  <c r="I17" i="1"/>
  <c r="H17" i="1"/>
  <c r="G17" i="1"/>
  <c r="F17" i="1"/>
  <c r="E17" i="1"/>
  <c r="D17" i="1"/>
  <c r="U17" i="1" s="1"/>
  <c r="Q16" i="1"/>
  <c r="P16" i="1"/>
  <c r="O16" i="1"/>
  <c r="M16" i="1"/>
  <c r="L16" i="1"/>
  <c r="X16" i="1" s="1"/>
  <c r="K16" i="1"/>
  <c r="J16" i="1"/>
  <c r="I16" i="1"/>
  <c r="H16" i="1"/>
  <c r="G16" i="1"/>
  <c r="F16" i="1"/>
  <c r="E16" i="1"/>
  <c r="V16" i="1" s="1"/>
  <c r="D16" i="1"/>
  <c r="Q15" i="1"/>
  <c r="P15" i="1"/>
  <c r="O15" i="1"/>
  <c r="M15" i="1"/>
  <c r="L15" i="1"/>
  <c r="K15" i="1"/>
  <c r="J15" i="1"/>
  <c r="I15" i="1"/>
  <c r="U15" i="1" s="1"/>
  <c r="H15" i="1"/>
  <c r="G15" i="1"/>
  <c r="F15" i="1"/>
  <c r="W15" i="1" s="1"/>
  <c r="E15" i="1"/>
  <c r="D15" i="1"/>
  <c r="Q14" i="1"/>
  <c r="P14" i="1"/>
  <c r="O14" i="1"/>
  <c r="M14" i="1"/>
  <c r="L14" i="1"/>
  <c r="K14" i="1"/>
  <c r="J14" i="1"/>
  <c r="V14" i="1" s="1"/>
  <c r="I14" i="1"/>
  <c r="H14" i="1"/>
  <c r="G14" i="1"/>
  <c r="X14" i="1" s="1"/>
  <c r="F14" i="1"/>
  <c r="E14" i="1"/>
  <c r="D14" i="1"/>
  <c r="Q13" i="1"/>
  <c r="P13" i="1"/>
  <c r="O13" i="1"/>
  <c r="M13" i="1"/>
  <c r="L13" i="1"/>
  <c r="K13" i="1"/>
  <c r="W13" i="1" s="1"/>
  <c r="J13" i="1"/>
  <c r="I13" i="1"/>
  <c r="H13" i="1"/>
  <c r="G13" i="1"/>
  <c r="F13" i="1"/>
  <c r="E13" i="1"/>
  <c r="D13" i="1"/>
  <c r="U13" i="1" s="1"/>
  <c r="Q12" i="1"/>
  <c r="P12" i="1"/>
  <c r="O12" i="1"/>
  <c r="M12" i="1"/>
  <c r="L12" i="1"/>
  <c r="X12" i="1" s="1"/>
  <c r="K12" i="1"/>
  <c r="J12" i="1"/>
  <c r="I12" i="1"/>
  <c r="H12" i="1"/>
  <c r="G12" i="1"/>
  <c r="F12" i="1"/>
  <c r="E12" i="1"/>
  <c r="V12" i="1" s="1"/>
  <c r="D12" i="1"/>
  <c r="Q11" i="1"/>
  <c r="P11" i="1"/>
  <c r="O11" i="1"/>
  <c r="M11" i="1"/>
  <c r="L11" i="1"/>
  <c r="K11" i="1"/>
  <c r="J11" i="1"/>
  <c r="I11" i="1"/>
  <c r="U11" i="1" s="1"/>
  <c r="H11" i="1"/>
  <c r="G11" i="1"/>
  <c r="F11" i="1"/>
  <c r="W11" i="1" s="1"/>
  <c r="E11" i="1"/>
  <c r="D11" i="1"/>
  <c r="Q10" i="1"/>
  <c r="P10" i="1"/>
  <c r="O10" i="1"/>
  <c r="M10" i="1"/>
  <c r="L10" i="1"/>
  <c r="K10" i="1"/>
  <c r="J10" i="1"/>
  <c r="V10" i="1" s="1"/>
  <c r="I10" i="1"/>
  <c r="H10" i="1"/>
  <c r="G10" i="1"/>
  <c r="X10" i="1" s="1"/>
  <c r="F10" i="1"/>
  <c r="E10" i="1"/>
  <c r="D10" i="1"/>
  <c r="Q9" i="1"/>
  <c r="P9" i="1"/>
  <c r="O9" i="1"/>
  <c r="M9" i="1"/>
  <c r="L9" i="1"/>
  <c r="K9" i="1"/>
  <c r="W9" i="1" s="1"/>
  <c r="J9" i="1"/>
  <c r="I9" i="1"/>
  <c r="H9" i="1"/>
  <c r="G9" i="1"/>
  <c r="X9" i="1" s="1"/>
  <c r="F9" i="1"/>
  <c r="E9" i="1"/>
  <c r="D9" i="1"/>
  <c r="U9" i="1" s="1"/>
  <c r="X8" i="1"/>
  <c r="Q8" i="1"/>
  <c r="P8" i="1"/>
  <c r="M8" i="1"/>
  <c r="L8" i="1"/>
  <c r="J8" i="1"/>
  <c r="I8" i="1"/>
  <c r="H8" i="1"/>
  <c r="G8" i="1"/>
  <c r="F8" i="1"/>
  <c r="W8" i="1" s="1"/>
  <c r="E8" i="1"/>
  <c r="V8" i="1" s="1"/>
  <c r="D8" i="1"/>
  <c r="U8" i="1" s="1"/>
  <c r="Q7" i="1"/>
  <c r="P7" i="1"/>
  <c r="O7" i="1"/>
  <c r="M7" i="1"/>
  <c r="L7" i="1"/>
  <c r="K7" i="1"/>
  <c r="J7" i="1"/>
  <c r="I7" i="1"/>
  <c r="H7" i="1"/>
  <c r="G7" i="1"/>
  <c r="X7" i="1" s="1"/>
  <c r="F7" i="1"/>
  <c r="E7" i="1"/>
  <c r="D7" i="1"/>
  <c r="Q6" i="1"/>
  <c r="P6" i="1"/>
  <c r="O6" i="1"/>
  <c r="M6" i="1"/>
  <c r="L6" i="1"/>
  <c r="K6" i="1"/>
  <c r="J6" i="1"/>
  <c r="I6" i="1"/>
  <c r="H6" i="1"/>
  <c r="G6" i="1"/>
  <c r="F6" i="1"/>
  <c r="E6" i="1"/>
  <c r="D6" i="1"/>
  <c r="U6" i="1" s="1"/>
  <c r="Q5" i="1"/>
  <c r="P5" i="1"/>
  <c r="O5" i="1"/>
  <c r="M5" i="1"/>
  <c r="L5" i="1"/>
  <c r="K5" i="1"/>
  <c r="J5" i="1"/>
  <c r="I5" i="1"/>
  <c r="H5" i="1"/>
  <c r="G5" i="1"/>
  <c r="F5" i="1"/>
  <c r="E5" i="1"/>
  <c r="V5" i="1" s="1"/>
  <c r="D5" i="1"/>
  <c r="Q4" i="1"/>
  <c r="P4" i="1"/>
  <c r="O4" i="1"/>
  <c r="M4" i="1"/>
  <c r="L4" i="1"/>
  <c r="K4" i="1"/>
  <c r="J4" i="1"/>
  <c r="I4" i="1"/>
  <c r="H4" i="1"/>
  <c r="H22" i="1" s="1"/>
  <c r="G4" i="1"/>
  <c r="F4" i="1"/>
  <c r="E4" i="1"/>
  <c r="D4" i="1"/>
  <c r="Q3" i="1"/>
  <c r="P3" i="1"/>
  <c r="O3" i="1"/>
  <c r="M3" i="1"/>
  <c r="M23" i="1" s="1"/>
  <c r="L3" i="1"/>
  <c r="K3" i="1"/>
  <c r="J3" i="1"/>
  <c r="I3" i="1"/>
  <c r="H3" i="1"/>
  <c r="G3" i="1"/>
  <c r="F3" i="1"/>
  <c r="E3" i="1"/>
  <c r="D3" i="1"/>
  <c r="Q2" i="1"/>
  <c r="P2" i="1"/>
  <c r="O2" i="1"/>
  <c r="M2" i="1"/>
  <c r="M22" i="1" s="1"/>
  <c r="L2" i="1"/>
  <c r="K2" i="1"/>
  <c r="J2" i="1"/>
  <c r="I2" i="1"/>
  <c r="H2" i="1"/>
  <c r="H23" i="1" s="1"/>
  <c r="G2" i="1"/>
  <c r="F2" i="1"/>
  <c r="E2" i="1"/>
  <c r="D2" i="1"/>
  <c r="D22" i="5" l="1"/>
  <c r="W2" i="1"/>
  <c r="V3" i="1"/>
  <c r="U4" i="1"/>
  <c r="X5" i="1"/>
  <c r="V7" i="1"/>
  <c r="W10" i="1"/>
  <c r="V11" i="1"/>
  <c r="X13" i="1"/>
  <c r="W14" i="1"/>
  <c r="V15" i="1"/>
  <c r="U16" i="1"/>
  <c r="X2" i="1"/>
  <c r="U5" i="1"/>
  <c r="E22" i="5"/>
  <c r="W6" i="1"/>
  <c r="U12" i="1"/>
  <c r="X17" i="1"/>
  <c r="W18" i="1"/>
  <c r="V19" i="1"/>
  <c r="W3" i="1"/>
  <c r="V4" i="1"/>
  <c r="X6" i="1"/>
  <c r="W7" i="1"/>
  <c r="V2" i="1"/>
  <c r="U2" i="1"/>
  <c r="U3" i="1"/>
  <c r="X3" i="1"/>
  <c r="X4" i="1"/>
  <c r="W4" i="1"/>
  <c r="W5" i="1"/>
  <c r="V6" i="1"/>
  <c r="U7" i="1"/>
  <c r="V9" i="1"/>
  <c r="U10" i="1"/>
  <c r="X11" i="1"/>
  <c r="W12" i="1"/>
  <c r="V13" i="1"/>
  <c r="U14" i="1"/>
  <c r="X15" i="1"/>
  <c r="W16" i="1"/>
  <c r="V17" i="1"/>
  <c r="U18" i="1"/>
  <c r="X19" i="1"/>
  <c r="X20" i="1"/>
  <c r="J22" i="5"/>
  <c r="O22" i="5"/>
</calcChain>
</file>

<file path=xl/sharedStrings.xml><?xml version="1.0" encoding="utf-8"?>
<sst xmlns="http://schemas.openxmlformats.org/spreadsheetml/2006/main" count="258" uniqueCount="49">
  <si>
    <t>group</t>
  </si>
  <si>
    <t>Domain</t>
  </si>
  <si>
    <t>Median GC</t>
  </si>
  <si>
    <t>% arch all prot</t>
  </si>
  <si>
    <t>% euk all prot</t>
  </si>
  <si>
    <t>% bact all prot</t>
  </si>
  <si>
    <t>% all prot</t>
  </si>
  <si>
    <t>% arch ribo</t>
  </si>
  <si>
    <t>% euk ribo</t>
  </si>
  <si>
    <t>% bact ribo</t>
  </si>
  <si>
    <t>% ribo</t>
  </si>
  <si>
    <t>%match Halobacteriaceae</t>
  </si>
  <si>
    <t>%match Thermoprotei</t>
  </si>
  <si>
    <t>%match Micrococcineae</t>
  </si>
  <si>
    <t>% exact match all-or-ribo</t>
  </si>
  <si>
    <t>% arch all-or-ribo</t>
  </si>
  <si>
    <t>% euk all-or-ribo</t>
  </si>
  <si>
    <t>% bact all-or-ribo</t>
  </si>
  <si>
    <t>Archaea_DPANN</t>
  </si>
  <si>
    <t>Archaea</t>
  </si>
  <si>
    <t>Archaea_Thaumarchaeota</t>
  </si>
  <si>
    <t>Archaea_Methanomicrobia</t>
  </si>
  <si>
    <t>Archaea_Thermoprotei</t>
  </si>
  <si>
    <t>Archaea_Halobacteriaceae</t>
  </si>
  <si>
    <t>Lactobacillales</t>
  </si>
  <si>
    <t>Bacteria</t>
  </si>
  <si>
    <t>Cytophagales</t>
  </si>
  <si>
    <t>Bacillaceae</t>
  </si>
  <si>
    <t>Alteromonadaceae</t>
  </si>
  <si>
    <t>Selenomonadales</t>
  </si>
  <si>
    <t>Enterobacteriaceae</t>
  </si>
  <si>
    <t>Oceanospirillales</t>
  </si>
  <si>
    <t>Chromatiales</t>
  </si>
  <si>
    <t>Rhodospirillales</t>
  </si>
  <si>
    <t>Comamonadaceae</t>
  </si>
  <si>
    <t>Xanthomonadacae</t>
  </si>
  <si>
    <t>Micrococcineae</t>
  </si>
  <si>
    <t>Euk_Coelomata</t>
  </si>
  <si>
    <t>Euk</t>
  </si>
  <si>
    <t>Euk_Pezizomycotina</t>
  </si>
  <si>
    <t>Xanthomonadaceae</t>
  </si>
  <si>
    <t>Clade</t>
  </si>
  <si>
    <t>% general model</t>
  </si>
  <si>
    <t>% pubspecific model</t>
  </si>
  <si>
    <t>min =</t>
  </si>
  <si>
    <t xml:space="preserve">max = </t>
  </si>
  <si>
    <t>% precise match all prot</t>
  </si>
  <si>
    <t>% precise match ribo</t>
  </si>
  <si>
    <t>max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</si>
</sst>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1"/>
      <name val="Calibri"/>
      <family val="2"/>
    </font>
    <font>
      <sz val="12"/>
      <color theme="1"/>
      <name val="Calibri"/>
      <family val="2"/>
    </font>
    <font>
      <sz val="12"/>
      <color rgb="FF000000"/>
      <name val="Calibri"/>
      <family val="2"/>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2" fillId="0" borderId="0" xfId="0" applyFont="1"/>
    <xf numFmtId="0" fontId="2" fillId="0" borderId="0" xfId="0" applyFont="1" applyAlignment="1">
      <alignment horizontal="center"/>
    </xf>
    <xf numFmtId="2" fontId="3" fillId="0" borderId="0" xfId="0" applyNumberFormat="1" applyFont="1" applyAlignment="1">
      <alignment horizontal="center"/>
    </xf>
    <xf numFmtId="2" fontId="2" fillId="0" borderId="0" xfId="0" applyNumberFormat="1" applyFont="1" applyAlignment="1">
      <alignment horizontal="center"/>
    </xf>
    <xf numFmtId="0" fontId="3" fillId="0" borderId="0" xfId="0" applyFont="1"/>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wrapText="1"/>
    </xf>
    <xf numFmtId="2" fontId="0" fillId="0" borderId="0" xfId="0" applyNumberFormat="1" applyAlignment="1">
      <alignment horizontal="center"/>
    </xf>
    <xf numFmtId="0" fontId="5" fillId="0" borderId="0" xfId="0" applyFont="1"/>
    <xf numFmtId="0" fontId="5" fillId="0" borderId="0" xfId="0" applyFont="1" applyAlignment="1">
      <alignment horizontal="center"/>
    </xf>
    <xf numFmtId="2" fontId="5" fillId="0" borderId="0" xfId="0" applyNumberFormat="1" applyFont="1" applyAlignment="1">
      <alignment horizontal="center"/>
    </xf>
    <xf numFmtId="0" fontId="4"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469900</xdr:colOff>
      <xdr:row>0</xdr:row>
      <xdr:rowOff>190500</xdr:rowOff>
    </xdr:from>
    <xdr:to>
      <xdr:col>13</xdr:col>
      <xdr:colOff>533400</xdr:colOff>
      <xdr:row>27</xdr:row>
      <xdr:rowOff>101600</xdr:rowOff>
    </xdr:to>
    <xdr:sp macro="" textlink="">
      <xdr:nvSpPr>
        <xdr:cNvPr id="2" name="TextBox 1">
          <a:extLst>
            <a:ext uri="{FF2B5EF4-FFF2-40B4-BE49-F238E27FC236}">
              <a16:creationId xmlns:a16="http://schemas.microsoft.com/office/drawing/2014/main" id="{19204F91-0F6D-8C4F-AC8E-62BD23F7F42F}"/>
            </a:ext>
          </a:extLst>
        </xdr:cNvPr>
        <xdr:cNvSpPr txBox="1"/>
      </xdr:nvSpPr>
      <xdr:spPr>
        <a:xfrm>
          <a:off x="469900" y="190500"/>
          <a:ext cx="10795000" cy="539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Results of analyses using model fit as a classifier:</a:t>
          </a:r>
        </a:p>
        <a:p>
          <a:endParaRPr lang="en-US" sz="1400"/>
        </a:p>
        <a:p>
          <a:r>
            <a:rPr lang="en-US" sz="1400"/>
            <a:t>Information on the best</a:t>
          </a:r>
          <a:r>
            <a:rPr lang="en-US" sz="1400" baseline="0"/>
            <a:t>-fitting model (for the model sets being considered) is included on each page. Models are broken down by "all proteins" (general models, trained using arbitrarily selected proteins) or ribosomal (trained using ribosomal proteins from Hug et al. 2016). The GC-content of each clade (see also supplementary file S1) is included for comparison.</a:t>
          </a:r>
          <a:endParaRPr lang="en-US" sz="1400"/>
        </a:p>
        <a:p>
          <a:endParaRPr lang="en-US" sz="1400"/>
        </a:p>
        <a:p>
          <a:r>
            <a:rPr lang="en-US" sz="1400"/>
            <a:t>1. Analyses of the Validation</a:t>
          </a:r>
          <a:r>
            <a:rPr lang="en-US" sz="1400" baseline="0"/>
            <a:t> Set MSAs</a:t>
          </a:r>
        </a:p>
        <a:p>
          <a:r>
            <a:rPr lang="en-US" sz="1400" baseline="0"/>
            <a:t>  -- fit to the models estimated as part of the Scolaro &amp; Braun study</a:t>
          </a:r>
        </a:p>
        <a:p>
          <a:r>
            <a:rPr lang="en-US" sz="1400" baseline="0"/>
            <a:t>  -- also includes % of times that the best-fit model was </a:t>
          </a:r>
          <a:r>
            <a:rPr lang="en-US" sz="1400" b="0" i="0" u="none" strike="noStrike">
              <a:solidFill>
                <a:schemeClr val="dk1"/>
              </a:solidFill>
              <a:effectLst/>
              <a:latin typeface="+mn-lt"/>
              <a:ea typeface="+mn-ea"/>
              <a:cs typeface="+mn-cs"/>
            </a:rPr>
            <a:t>Thermoprotei, Halobacteriaceae, or Micrococcineae (models from</a:t>
          </a:r>
          <a:r>
            <a:rPr lang="en-US" sz="1400" b="0" i="0" u="none" strike="noStrike" baseline="0">
              <a:solidFill>
                <a:schemeClr val="dk1"/>
              </a:solidFill>
              <a:effectLst/>
              <a:latin typeface="+mn-lt"/>
              <a:ea typeface="+mn-ea"/>
              <a:cs typeface="+mn-cs"/>
            </a:rPr>
            <a:t> taxa with a high exact match percentage)</a:t>
          </a:r>
          <a:r>
            <a:rPr lang="en-US" sz="1400" b="0" i="0" u="none" strike="noStrike">
              <a:solidFill>
                <a:schemeClr val="dk1"/>
              </a:solidFill>
              <a:effectLst/>
              <a:latin typeface="+mn-lt"/>
              <a:ea typeface="+mn-ea"/>
              <a:cs typeface="+mn-cs"/>
            </a:rPr>
            <a:t> </a:t>
          </a:r>
        </a:p>
        <a:p>
          <a:endParaRPr lang="en-US" sz="1400" b="0" i="0" u="none" strike="noStrike" baseline="0">
            <a:solidFill>
              <a:schemeClr val="dk1"/>
            </a:solidFill>
            <a:effectLst/>
            <a:latin typeface="+mn-lt"/>
            <a:ea typeface="+mn-ea"/>
            <a:cs typeface="+mn-cs"/>
          </a:endParaRPr>
        </a:p>
        <a:p>
          <a:r>
            <a:rPr lang="en-US" sz="1400" b="0" i="0" u="none" strike="noStrike" baseline="0">
              <a:solidFill>
                <a:schemeClr val="dk1"/>
              </a:solidFill>
              <a:effectLst/>
              <a:latin typeface="+mn-lt"/>
              <a:ea typeface="+mn-ea"/>
              <a:cs typeface="+mn-cs"/>
            </a:rPr>
            <a:t>2. Analyses of the Training Set MSAs</a:t>
          </a:r>
        </a:p>
        <a:p>
          <a:r>
            <a:rPr lang="en-US" sz="1400" b="0" i="0" u="none" strike="noStrike" baseline="0">
              <a:solidFill>
                <a:schemeClr val="dk1"/>
              </a:solidFill>
              <a:effectLst/>
              <a:latin typeface="+mn-lt"/>
              <a:ea typeface="+mn-ea"/>
              <a:cs typeface="+mn-cs"/>
            </a:rPr>
            <a:t>   -- Identical to sheet 1, but using MSAs from the Traning Set instead of the Validation Set</a:t>
          </a:r>
        </a:p>
        <a:p>
          <a:endParaRPr lang="en-US" sz="1400" b="0" i="0" u="none" strike="noStrike" baseline="0">
            <a:solidFill>
              <a:schemeClr val="dk1"/>
            </a:solidFill>
            <a:effectLst/>
            <a:latin typeface="+mn-lt"/>
            <a:ea typeface="+mn-ea"/>
            <a:cs typeface="+mn-cs"/>
          </a:endParaRPr>
        </a:p>
        <a:p>
          <a:r>
            <a:rPr lang="en-US" sz="1400" b="0" i="0" u="none" strike="noStrike" baseline="0">
              <a:solidFill>
                <a:schemeClr val="dk1"/>
              </a:solidFill>
              <a:effectLst/>
              <a:latin typeface="+mn-lt"/>
              <a:ea typeface="+mn-ea"/>
              <a:cs typeface="+mn-cs"/>
            </a:rPr>
            <a:t>3. Analyses of the Validation Set MSAs using the new Scolaro &amp; Braun models and previously published models</a:t>
          </a:r>
        </a:p>
        <a:p>
          <a:r>
            <a:rPr lang="en-US" sz="1400" b="0" i="0" u="none" strike="noStrike" baseline="0">
              <a:solidFill>
                <a:schemeClr val="dk1"/>
              </a:solidFill>
              <a:effectLst/>
              <a:latin typeface="+mn-lt"/>
              <a:ea typeface="+mn-ea"/>
              <a:cs typeface="+mn-cs"/>
            </a:rPr>
            <a:t>   -- "General models" are published models based on diverse taxa (e.g., WAG, LG, etc.)</a:t>
          </a:r>
        </a:p>
        <a:p>
          <a:pPr marL="0" marR="0" lvl="0" indent="0" defTabSz="914400" eaLnBrk="1" fontAlgn="auto" latinLnBrk="0" hangingPunct="1">
            <a:lnSpc>
              <a:spcPct val="100000"/>
            </a:lnSpc>
            <a:spcBef>
              <a:spcPts val="0"/>
            </a:spcBef>
            <a:spcAft>
              <a:spcPts val="0"/>
            </a:spcAft>
            <a:buClrTx/>
            <a:buSzTx/>
            <a:buFontTx/>
            <a:buNone/>
            <a:tabLst/>
            <a:defRPr/>
          </a:pPr>
          <a:r>
            <a:rPr lang="en-US" sz="1400" b="0" i="0" u="none" strike="noStrike" baseline="0">
              <a:solidFill>
                <a:schemeClr val="dk1"/>
              </a:solidFill>
              <a:effectLst/>
              <a:latin typeface="+mn-lt"/>
              <a:ea typeface="+mn-ea"/>
              <a:cs typeface="+mn-cs"/>
            </a:rPr>
            <a:t>   -- "Pubspecific models" are published clade-specific models (models from Pandey and Braun 2020, ACM-BCB meeting and Minh et al. 2021, Qmaker)</a:t>
          </a:r>
          <a:endParaRPr lang="en-US" sz="1400" baseline="0"/>
        </a:p>
        <a:p>
          <a:endParaRPr lang="en-US" sz="1400" baseline="0"/>
        </a:p>
        <a:p>
          <a:pPr marL="0" marR="0" lvl="0" indent="0" defTabSz="914400" eaLnBrk="1" fontAlgn="auto" latinLnBrk="0" hangingPunct="1">
            <a:lnSpc>
              <a:spcPct val="100000"/>
            </a:lnSpc>
            <a:spcBef>
              <a:spcPts val="0"/>
            </a:spcBef>
            <a:spcAft>
              <a:spcPts val="0"/>
            </a:spcAft>
            <a:buClrTx/>
            <a:buSzTx/>
            <a:buFontTx/>
            <a:buNone/>
            <a:tabLst/>
            <a:defRPr/>
          </a:pPr>
          <a:r>
            <a:rPr lang="en-US" sz="1400" b="0" i="0" u="none" strike="noStrike" baseline="0">
              <a:solidFill>
                <a:schemeClr val="dk1"/>
              </a:solidFill>
              <a:effectLst/>
              <a:latin typeface="+mn-lt"/>
              <a:ea typeface="+mn-ea"/>
              <a:cs typeface="+mn-cs"/>
            </a:rPr>
            <a:t>4. Analyses of the Training Set MSAs using the new Scolaro &amp; Braun models and previously published models</a:t>
          </a:r>
        </a:p>
        <a:p>
          <a:pPr marL="0" marR="0" lvl="0" indent="0" defTabSz="914400" eaLnBrk="1" fontAlgn="auto" latinLnBrk="0" hangingPunct="1">
            <a:lnSpc>
              <a:spcPct val="100000"/>
            </a:lnSpc>
            <a:spcBef>
              <a:spcPts val="0"/>
            </a:spcBef>
            <a:spcAft>
              <a:spcPts val="0"/>
            </a:spcAft>
            <a:buClrTx/>
            <a:buSzTx/>
            <a:buFontTx/>
            <a:buNone/>
            <a:tabLst/>
            <a:defRPr/>
          </a:pPr>
          <a:r>
            <a:rPr lang="en-US" sz="1400" b="0" i="0" u="none" strike="noStrike" baseline="0">
              <a:solidFill>
                <a:schemeClr val="dk1"/>
              </a:solidFill>
              <a:effectLst/>
              <a:latin typeface="+mn-lt"/>
              <a:ea typeface="+mn-ea"/>
              <a:cs typeface="+mn-cs"/>
            </a:rPr>
            <a:t>   -- Identical to sheet 3, but using MSAs from the Traning Set instead of the Validation Set</a:t>
          </a:r>
        </a:p>
        <a:p>
          <a:endParaRPr lang="en-US" sz="14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84A8E-DF1E-EC41-91CE-50FA1F047C51}">
  <dimension ref="A1:X23"/>
  <sheetViews>
    <sheetView workbookViewId="0">
      <selection activeCell="G22" sqref="G22:M23"/>
    </sheetView>
  </sheetViews>
  <sheetFormatPr baseColWidth="10" defaultRowHeight="16" x14ac:dyDescent="0.2"/>
  <cols>
    <col min="1" max="1" width="26.5" customWidth="1"/>
    <col min="14" max="14" width="8.5" customWidth="1"/>
    <col min="15" max="15" width="17.1640625" customWidth="1"/>
    <col min="16" max="16" width="16" customWidth="1"/>
    <col min="17" max="17" width="17" customWidth="1"/>
    <col min="19" max="19" width="25.6640625" customWidth="1"/>
  </cols>
  <sheetData>
    <row r="1" spans="1:24" s="7" customFormat="1" ht="51" x14ac:dyDescent="0.2">
      <c r="A1" s="6" t="s">
        <v>41</v>
      </c>
      <c r="B1" s="6" t="s">
        <v>1</v>
      </c>
      <c r="C1" s="8" t="s">
        <v>2</v>
      </c>
      <c r="D1" s="8" t="s">
        <v>46</v>
      </c>
      <c r="E1" s="8" t="s">
        <v>3</v>
      </c>
      <c r="F1" s="8" t="s">
        <v>4</v>
      </c>
      <c r="G1" s="8" t="s">
        <v>5</v>
      </c>
      <c r="H1" s="8" t="s">
        <v>6</v>
      </c>
      <c r="I1" s="8" t="s">
        <v>47</v>
      </c>
      <c r="J1" s="8" t="s">
        <v>7</v>
      </c>
      <c r="K1" s="8" t="s">
        <v>8</v>
      </c>
      <c r="L1" s="8" t="s">
        <v>9</v>
      </c>
      <c r="M1" s="8" t="s">
        <v>10</v>
      </c>
      <c r="N1"/>
      <c r="O1" s="8" t="s">
        <v>11</v>
      </c>
      <c r="P1" s="8" t="s">
        <v>12</v>
      </c>
      <c r="Q1" s="8" t="s">
        <v>13</v>
      </c>
      <c r="R1" s="9"/>
      <c r="S1" s="8" t="s">
        <v>0</v>
      </c>
      <c r="T1" s="8" t="s">
        <v>2</v>
      </c>
      <c r="U1" s="8" t="s">
        <v>14</v>
      </c>
      <c r="V1" s="8" t="s">
        <v>15</v>
      </c>
      <c r="W1" s="8" t="s">
        <v>16</v>
      </c>
      <c r="X1" s="8" t="s">
        <v>17</v>
      </c>
    </row>
    <row r="2" spans="1:24" x14ac:dyDescent="0.2">
      <c r="A2" s="1" t="s">
        <v>18</v>
      </c>
      <c r="B2" s="2" t="s">
        <v>19</v>
      </c>
      <c r="C2" s="3">
        <v>34.049999999999997</v>
      </c>
      <c r="D2" s="4">
        <f>134/4969*100</f>
        <v>2.6967196619038036</v>
      </c>
      <c r="E2" s="4">
        <f>1542/4969*100</f>
        <v>31.032400885490034</v>
      </c>
      <c r="F2" s="4">
        <f>414/4969*100</f>
        <v>8.3316562688669755</v>
      </c>
      <c r="G2" s="4">
        <f>1443/4969*100</f>
        <v>29.040048299456632</v>
      </c>
      <c r="H2" s="4">
        <f>3399/4969*100</f>
        <v>68.404105453813642</v>
      </c>
      <c r="I2" s="4">
        <f>118/4969*100</f>
        <v>2.3747232843630508</v>
      </c>
      <c r="J2" s="4">
        <f>501/4969*100</f>
        <v>10.082511571744817</v>
      </c>
      <c r="K2" s="4">
        <f>71/4969*100</f>
        <v>1.42885892533709</v>
      </c>
      <c r="L2" s="4">
        <f>998/4969*100</f>
        <v>20.084524049104445</v>
      </c>
      <c r="M2" s="4">
        <f>1570/4969*100</f>
        <v>31.595894546186354</v>
      </c>
      <c r="O2" s="4">
        <f>152/4969*100</f>
        <v>3.0589655866371501</v>
      </c>
      <c r="P2" s="4">
        <f>447/4969*100</f>
        <v>8.9957737975447767</v>
      </c>
      <c r="Q2" s="4">
        <f>13/4969*100</f>
        <v>0.26162205675186151</v>
      </c>
      <c r="R2" s="1"/>
      <c r="S2" s="1" t="s">
        <v>18</v>
      </c>
      <c r="T2" s="3">
        <v>34.049999999999997</v>
      </c>
      <c r="U2" s="4">
        <f t="shared" ref="U2:X17" si="0">D2+I2</f>
        <v>5.0714429462668544</v>
      </c>
      <c r="V2" s="4">
        <f t="shared" si="0"/>
        <v>41.114912457234851</v>
      </c>
      <c r="W2" s="4">
        <f t="shared" si="0"/>
        <v>9.760515194204066</v>
      </c>
      <c r="X2" s="4">
        <f t="shared" si="0"/>
        <v>49.124572348561074</v>
      </c>
    </row>
    <row r="3" spans="1:24" x14ac:dyDescent="0.2">
      <c r="A3" s="1" t="s">
        <v>20</v>
      </c>
      <c r="B3" s="2" t="s">
        <v>19</v>
      </c>
      <c r="C3" s="3">
        <v>34.200000000000003</v>
      </c>
      <c r="D3" s="4">
        <f>161/828*100</f>
        <v>19.444444444444446</v>
      </c>
      <c r="E3" s="4">
        <f>217/828*100</f>
        <v>26.207729468599034</v>
      </c>
      <c r="F3" s="4">
        <f>24/828*100</f>
        <v>2.8985507246376812</v>
      </c>
      <c r="G3" s="4">
        <f>216/828*100</f>
        <v>26.086956521739129</v>
      </c>
      <c r="H3" s="4">
        <f>457/828*100</f>
        <v>55.193236714975846</v>
      </c>
      <c r="I3" s="4">
        <f>47/828*100</f>
        <v>5.6763285024154593</v>
      </c>
      <c r="J3" s="4">
        <f>95/828*100</f>
        <v>11.473429951690822</v>
      </c>
      <c r="K3" s="4">
        <f>23/828*100</f>
        <v>2.7777777777777777</v>
      </c>
      <c r="L3" s="4">
        <f>253/828*100</f>
        <v>30.555555555555557</v>
      </c>
      <c r="M3" s="4">
        <f>371/828*100</f>
        <v>44.806763285024154</v>
      </c>
      <c r="O3" s="4">
        <f>48/828*100</f>
        <v>5.7971014492753623</v>
      </c>
      <c r="P3" s="4">
        <f>21/828*100</f>
        <v>2.5362318840579712</v>
      </c>
      <c r="Q3" s="4">
        <f>5/828*100</f>
        <v>0.60386473429951693</v>
      </c>
      <c r="R3" s="1"/>
      <c r="S3" s="1" t="s">
        <v>20</v>
      </c>
      <c r="T3" s="3">
        <v>34.200000000000003</v>
      </c>
      <c r="U3" s="4">
        <f t="shared" si="0"/>
        <v>25.120772946859905</v>
      </c>
      <c r="V3" s="4">
        <f t="shared" si="0"/>
        <v>37.681159420289859</v>
      </c>
      <c r="W3" s="4">
        <f t="shared" si="0"/>
        <v>5.6763285024154584</v>
      </c>
      <c r="X3" s="4">
        <f t="shared" si="0"/>
        <v>56.642512077294683</v>
      </c>
    </row>
    <row r="4" spans="1:24" x14ac:dyDescent="0.2">
      <c r="A4" s="1" t="s">
        <v>21</v>
      </c>
      <c r="B4" s="2" t="s">
        <v>19</v>
      </c>
      <c r="C4" s="3">
        <v>47.4</v>
      </c>
      <c r="D4" s="4">
        <f>214/1530*100</f>
        <v>13.986928104575163</v>
      </c>
      <c r="E4" s="4">
        <f>731/1530*100</f>
        <v>47.777777777777779</v>
      </c>
      <c r="F4" s="4">
        <f>111/1530*100</f>
        <v>7.2549019607843146</v>
      </c>
      <c r="G4" s="4">
        <f>240/1530*100</f>
        <v>15.686274509803921</v>
      </c>
      <c r="H4" s="4">
        <f>1082/1530*100</f>
        <v>70.718954248366018</v>
      </c>
      <c r="I4" s="4">
        <f>69/1530*100</f>
        <v>4.5098039215686274</v>
      </c>
      <c r="J4" s="4">
        <f>118/1530*100</f>
        <v>7.7124183006535949</v>
      </c>
      <c r="K4" s="4">
        <f>4/1530*100</f>
        <v>0.26143790849673199</v>
      </c>
      <c r="L4" s="4">
        <f>326/1530*100</f>
        <v>21.307189542483659</v>
      </c>
      <c r="M4" s="4">
        <f>448/1530*100</f>
        <v>29.281045751633989</v>
      </c>
      <c r="O4" s="4">
        <f>131/1530*100</f>
        <v>8.5620915032679736</v>
      </c>
      <c r="P4" s="4">
        <f>89/1530*100</f>
        <v>5.8169934640522873</v>
      </c>
      <c r="Q4" s="4">
        <f>55/1530*100</f>
        <v>3.594771241830065</v>
      </c>
      <c r="R4" s="1"/>
      <c r="S4" s="1" t="s">
        <v>21</v>
      </c>
      <c r="T4" s="3">
        <v>47.4</v>
      </c>
      <c r="U4" s="4">
        <f t="shared" si="0"/>
        <v>18.496732026143789</v>
      </c>
      <c r="V4" s="4">
        <f t="shared" si="0"/>
        <v>55.490196078431374</v>
      </c>
      <c r="W4" s="4">
        <f t="shared" si="0"/>
        <v>7.5163398692810466</v>
      </c>
      <c r="X4" s="4">
        <f t="shared" si="0"/>
        <v>36.993464052287578</v>
      </c>
    </row>
    <row r="5" spans="1:24" x14ac:dyDescent="0.2">
      <c r="A5" s="5" t="s">
        <v>22</v>
      </c>
      <c r="B5" s="2" t="s">
        <v>19</v>
      </c>
      <c r="C5" s="3">
        <v>49</v>
      </c>
      <c r="D5" s="4">
        <f>376/640*100</f>
        <v>58.75</v>
      </c>
      <c r="E5" s="4">
        <f>422/640*100</f>
        <v>65.9375</v>
      </c>
      <c r="F5" s="4">
        <f>42/640*100</f>
        <v>6.5625</v>
      </c>
      <c r="G5" s="4">
        <f>25/640*100</f>
        <v>3.90625</v>
      </c>
      <c r="H5" s="4">
        <f>489/640*100</f>
        <v>76.40625</v>
      </c>
      <c r="I5" s="4">
        <f>46/640*100</f>
        <v>7.1874999999999991</v>
      </c>
      <c r="J5" s="4">
        <f>68/640*100</f>
        <v>10.625</v>
      </c>
      <c r="K5" s="4">
        <f>4/640*100</f>
        <v>0.625</v>
      </c>
      <c r="L5" s="4">
        <f>79/640*100</f>
        <v>12.34375</v>
      </c>
      <c r="M5" s="4">
        <f>151/640*100</f>
        <v>23.59375</v>
      </c>
      <c r="O5" s="4">
        <f>9/640*100</f>
        <v>1.40625</v>
      </c>
      <c r="P5" s="4">
        <f>422/640*100</f>
        <v>65.9375</v>
      </c>
      <c r="Q5" s="4">
        <f>10/640*100</f>
        <v>1.5625</v>
      </c>
      <c r="R5" s="5"/>
      <c r="S5" s="5" t="s">
        <v>22</v>
      </c>
      <c r="T5" s="3">
        <v>49</v>
      </c>
      <c r="U5" s="4">
        <f t="shared" si="0"/>
        <v>65.9375</v>
      </c>
      <c r="V5" s="4">
        <f t="shared" si="0"/>
        <v>76.5625</v>
      </c>
      <c r="W5" s="4">
        <f t="shared" si="0"/>
        <v>7.1875</v>
      </c>
      <c r="X5" s="4">
        <f t="shared" si="0"/>
        <v>16.25</v>
      </c>
    </row>
    <row r="6" spans="1:24" x14ac:dyDescent="0.2">
      <c r="A6" s="1" t="s">
        <v>23</v>
      </c>
      <c r="B6" s="2" t="s">
        <v>19</v>
      </c>
      <c r="C6" s="3">
        <v>63.7</v>
      </c>
      <c r="D6" s="4">
        <f>1619/2779*100</f>
        <v>58.258366318819718</v>
      </c>
      <c r="E6" s="4">
        <f>1840/2778*100</f>
        <v>66.234701223902093</v>
      </c>
      <c r="F6" s="4">
        <f>130/2778*100</f>
        <v>4.6796256299496042</v>
      </c>
      <c r="G6" s="4">
        <f>346/2778*100</f>
        <v>12.455003599712024</v>
      </c>
      <c r="H6" s="4">
        <f>2316/2778*100</f>
        <v>83.36933045356372</v>
      </c>
      <c r="I6" s="4">
        <f>198/2778*100</f>
        <v>7.1274298056155514</v>
      </c>
      <c r="J6" s="4">
        <f>249/2778*100</f>
        <v>8.96328293736501</v>
      </c>
      <c r="K6" s="4">
        <f>5/2778*100</f>
        <v>0.17998560115190784</v>
      </c>
      <c r="L6" s="4">
        <f>208/2778*100</f>
        <v>7.4874010079193667</v>
      </c>
      <c r="M6" s="4">
        <f>462/2778*100</f>
        <v>16.630669546436287</v>
      </c>
      <c r="O6" s="4">
        <f>1817/2778*100</f>
        <v>65.406767458603312</v>
      </c>
      <c r="P6" s="4">
        <f>37/2778*100</f>
        <v>1.3318934485241181</v>
      </c>
      <c r="Q6" s="4">
        <f>73/2778*100</f>
        <v>2.6277897768178549</v>
      </c>
      <c r="R6" s="1"/>
      <c r="S6" s="1" t="s">
        <v>23</v>
      </c>
      <c r="T6" s="3">
        <v>63.7</v>
      </c>
      <c r="U6" s="4">
        <f t="shared" si="0"/>
        <v>65.385796124435274</v>
      </c>
      <c r="V6" s="4">
        <f t="shared" si="0"/>
        <v>75.197984161267101</v>
      </c>
      <c r="W6" s="4">
        <f t="shared" si="0"/>
        <v>4.8596112311015123</v>
      </c>
      <c r="X6" s="4">
        <f t="shared" si="0"/>
        <v>19.942404607631389</v>
      </c>
    </row>
    <row r="7" spans="1:24" x14ac:dyDescent="0.2">
      <c r="A7" s="5" t="s">
        <v>24</v>
      </c>
      <c r="B7" s="2" t="s">
        <v>25</v>
      </c>
      <c r="C7" s="4">
        <v>37.700000000000003</v>
      </c>
      <c r="D7" s="4">
        <f>154/1132*100</f>
        <v>13.604240282685511</v>
      </c>
      <c r="E7" s="4">
        <f>159/1132*100</f>
        <v>14.045936395759718</v>
      </c>
      <c r="F7" s="4">
        <f>125/1132*100</f>
        <v>11.042402826855122</v>
      </c>
      <c r="G7" s="4">
        <f>321/1132*100</f>
        <v>28.35689045936396</v>
      </c>
      <c r="H7" s="4">
        <f>605/1132*100</f>
        <v>53.445229681978802</v>
      </c>
      <c r="I7" s="4">
        <f>60/1132*100</f>
        <v>5.3003533568904597</v>
      </c>
      <c r="J7" s="4">
        <f>119/1132*100</f>
        <v>10.512367491166078</v>
      </c>
      <c r="K7" s="4">
        <f>11/1132*100</f>
        <v>0.9717314487632509</v>
      </c>
      <c r="L7" s="4">
        <f>397/1132*100</f>
        <v>35.070671378091873</v>
      </c>
      <c r="M7" s="4">
        <f>527/1132*100</f>
        <v>46.554770318021198</v>
      </c>
      <c r="O7" s="4">
        <f>61/1132*100</f>
        <v>5.3886925795053005</v>
      </c>
      <c r="P7" s="4">
        <f>52/1132*100</f>
        <v>4.5936395759717312</v>
      </c>
      <c r="Q7" s="4">
        <f>18/1132*100</f>
        <v>1.5901060070671376</v>
      </c>
      <c r="R7" s="5"/>
      <c r="S7" s="5" t="s">
        <v>24</v>
      </c>
      <c r="T7" s="4">
        <v>37.700000000000003</v>
      </c>
      <c r="U7" s="4">
        <f t="shared" si="0"/>
        <v>18.904593639575971</v>
      </c>
      <c r="V7" s="4">
        <f t="shared" si="0"/>
        <v>24.558303886925795</v>
      </c>
      <c r="W7" s="4">
        <f t="shared" si="0"/>
        <v>12.014134275618373</v>
      </c>
      <c r="X7" s="4">
        <f t="shared" si="0"/>
        <v>63.427561837455833</v>
      </c>
    </row>
    <row r="8" spans="1:24" x14ac:dyDescent="0.2">
      <c r="A8" s="1" t="s">
        <v>26</v>
      </c>
      <c r="B8" s="2" t="s">
        <v>25</v>
      </c>
      <c r="C8" s="3">
        <v>40.6</v>
      </c>
      <c r="D8" s="4">
        <f>8/68*100</f>
        <v>11.76470588235294</v>
      </c>
      <c r="E8" s="4">
        <f>6/68*100</f>
        <v>8.8235294117647065</v>
      </c>
      <c r="F8" s="4">
        <f>5/68*100</f>
        <v>7.3529411764705888</v>
      </c>
      <c r="G8" s="4">
        <f>34/68*100</f>
        <v>50</v>
      </c>
      <c r="H8" s="4">
        <f>45/68*100</f>
        <v>66.17647058823529</v>
      </c>
      <c r="I8" s="4">
        <f t="shared" ref="I8:J8" si="1">1/68*100</f>
        <v>1.4705882352941175</v>
      </c>
      <c r="J8" s="4">
        <f t="shared" si="1"/>
        <v>1.4705882352941175</v>
      </c>
      <c r="K8" s="4">
        <v>0</v>
      </c>
      <c r="L8" s="4">
        <f>22/68*100</f>
        <v>32.352941176470587</v>
      </c>
      <c r="M8" s="4">
        <f>23/68*100</f>
        <v>33.82352941176471</v>
      </c>
      <c r="O8" s="4">
        <v>0</v>
      </c>
      <c r="P8" s="4">
        <f>2/68*100</f>
        <v>2.9411764705882351</v>
      </c>
      <c r="Q8" s="4">
        <f>1/68*100</f>
        <v>1.4705882352941175</v>
      </c>
      <c r="R8" s="1"/>
      <c r="S8" s="1" t="s">
        <v>26</v>
      </c>
      <c r="T8" s="3">
        <v>40.6</v>
      </c>
      <c r="U8" s="4">
        <f t="shared" si="0"/>
        <v>13.235294117647058</v>
      </c>
      <c r="V8" s="4">
        <f t="shared" si="0"/>
        <v>10.294117647058824</v>
      </c>
      <c r="W8" s="4">
        <f t="shared" si="0"/>
        <v>7.3529411764705888</v>
      </c>
      <c r="X8" s="4">
        <f t="shared" si="0"/>
        <v>82.35294117647058</v>
      </c>
    </row>
    <row r="9" spans="1:24" x14ac:dyDescent="0.2">
      <c r="A9" s="1" t="s">
        <v>27</v>
      </c>
      <c r="B9" s="2" t="s">
        <v>25</v>
      </c>
      <c r="C9" s="3">
        <v>42.15</v>
      </c>
      <c r="D9" s="4">
        <f>329/3014*100</f>
        <v>10.915726609157266</v>
      </c>
      <c r="E9" s="4">
        <f>957/3014*100</f>
        <v>31.751824817518248</v>
      </c>
      <c r="F9" s="4">
        <f>332/3014*100</f>
        <v>11.015262110152621</v>
      </c>
      <c r="G9" s="4">
        <f>901/3014*100</f>
        <v>29.893828798938287</v>
      </c>
      <c r="H9" s="4">
        <f>2190/3014*100</f>
        <v>72.660915726609147</v>
      </c>
      <c r="I9" s="4">
        <f>28/3014*100</f>
        <v>0.92899800928998</v>
      </c>
      <c r="J9" s="4">
        <f>156/3014*100</f>
        <v>5.1758460517584606</v>
      </c>
      <c r="K9" s="4">
        <f>4/3014*100</f>
        <v>0.13271400132714001</v>
      </c>
      <c r="L9" s="4">
        <f>664/3014*100</f>
        <v>22.030524220305242</v>
      </c>
      <c r="M9" s="4">
        <f>824/3014*100</f>
        <v>27.339084273390839</v>
      </c>
      <c r="O9" s="4">
        <f>317/3014*100</f>
        <v>10.517584605175847</v>
      </c>
      <c r="P9" s="4">
        <f>161/3014*100</f>
        <v>5.341738553417386</v>
      </c>
      <c r="Q9" s="4">
        <f>77/3014*100</f>
        <v>2.5547445255474455</v>
      </c>
      <c r="R9" s="1"/>
      <c r="S9" s="1" t="s">
        <v>27</v>
      </c>
      <c r="T9" s="3">
        <v>42.15</v>
      </c>
      <c r="U9" s="4">
        <f t="shared" si="0"/>
        <v>11.844724618447247</v>
      </c>
      <c r="V9" s="4">
        <f t="shared" si="0"/>
        <v>36.92767086927671</v>
      </c>
      <c r="W9" s="4">
        <f t="shared" si="0"/>
        <v>11.14797611147976</v>
      </c>
      <c r="X9" s="4">
        <f t="shared" si="0"/>
        <v>51.924353019243526</v>
      </c>
    </row>
    <row r="10" spans="1:24" x14ac:dyDescent="0.2">
      <c r="A10" s="1" t="s">
        <v>28</v>
      </c>
      <c r="B10" s="2" t="s">
        <v>25</v>
      </c>
      <c r="C10" s="3">
        <v>45.9</v>
      </c>
      <c r="D10" s="4">
        <f>165/2456*100</f>
        <v>6.7182410423452774</v>
      </c>
      <c r="E10" s="4">
        <f>218/2456*100</f>
        <v>8.8762214983713346</v>
      </c>
      <c r="F10" s="4">
        <f>151/2456*100</f>
        <v>6.1482084690553744</v>
      </c>
      <c r="G10" s="4">
        <f>914/2456*100</f>
        <v>37.214983713355046</v>
      </c>
      <c r="H10" s="4">
        <f>1283/2456*100</f>
        <v>52.239413680781752</v>
      </c>
      <c r="I10" s="4">
        <f>15/2456*100</f>
        <v>0.61074918566775249</v>
      </c>
      <c r="J10" s="4">
        <f>115/2456*100</f>
        <v>4.6824104234527688</v>
      </c>
      <c r="K10" s="4">
        <f>4/2456*100</f>
        <v>0.16286644951140067</v>
      </c>
      <c r="L10" s="4">
        <f>1054/2456*100</f>
        <v>42.915309446254071</v>
      </c>
      <c r="M10" s="4">
        <f>1173/2456*100</f>
        <v>47.760586319218241</v>
      </c>
      <c r="O10" s="4">
        <f>125/2456*100</f>
        <v>5.0895765472312702</v>
      </c>
      <c r="P10" s="4">
        <f>62/2456*100</f>
        <v>2.5244299674267103</v>
      </c>
      <c r="Q10" s="4">
        <f>153/2456*100</f>
        <v>6.2296416938110752</v>
      </c>
      <c r="R10" s="1"/>
      <c r="S10" s="1" t="s">
        <v>28</v>
      </c>
      <c r="T10" s="3">
        <v>45.9</v>
      </c>
      <c r="U10" s="4">
        <f t="shared" si="0"/>
        <v>7.3289902280130299</v>
      </c>
      <c r="V10" s="4">
        <f t="shared" si="0"/>
        <v>13.558631921824103</v>
      </c>
      <c r="W10" s="4">
        <f t="shared" si="0"/>
        <v>6.3110749185667752</v>
      </c>
      <c r="X10" s="4">
        <f t="shared" si="0"/>
        <v>80.130293159609124</v>
      </c>
    </row>
    <row r="11" spans="1:24" x14ac:dyDescent="0.2">
      <c r="A11" s="5" t="s">
        <v>29</v>
      </c>
      <c r="B11" s="2" t="s">
        <v>25</v>
      </c>
      <c r="C11" s="4">
        <v>48.9</v>
      </c>
      <c r="D11" s="4">
        <f>184/1294*100</f>
        <v>14.219474497681608</v>
      </c>
      <c r="E11" s="4">
        <f>266/1294*100</f>
        <v>20.556414219474497</v>
      </c>
      <c r="F11" s="4">
        <f>113/1294*100</f>
        <v>8.7326120556414217</v>
      </c>
      <c r="G11" s="4">
        <f>445/1294*100</f>
        <v>34.389489953632143</v>
      </c>
      <c r="H11" s="4">
        <f>824/1294*100</f>
        <v>63.678516228748073</v>
      </c>
      <c r="I11" s="4">
        <f>6/1294*100</f>
        <v>0.46367851622874806</v>
      </c>
      <c r="J11" s="4">
        <f>105/1294*100</f>
        <v>8.1143740340030917</v>
      </c>
      <c r="K11" s="4">
        <f>8/1294*100</f>
        <v>0.61823802163833075</v>
      </c>
      <c r="L11" s="4">
        <f>355/1294*100</f>
        <v>27.434312210200929</v>
      </c>
      <c r="M11" s="4">
        <f>468/1294*100</f>
        <v>36.166924265842347</v>
      </c>
      <c r="O11" s="4">
        <f>146/1294*100</f>
        <v>11.282843894899536</v>
      </c>
      <c r="P11" s="4">
        <f>35/1294*100</f>
        <v>2.7047913446676968</v>
      </c>
      <c r="Q11" s="4">
        <f>27/1294*100</f>
        <v>2.0865533230293662</v>
      </c>
      <c r="R11" s="5"/>
      <c r="S11" s="5" t="s">
        <v>29</v>
      </c>
      <c r="T11" s="4">
        <v>48.9</v>
      </c>
      <c r="U11" s="4">
        <f t="shared" si="0"/>
        <v>14.683153013910356</v>
      </c>
      <c r="V11" s="4">
        <f t="shared" si="0"/>
        <v>28.670788253477589</v>
      </c>
      <c r="W11" s="4">
        <f t="shared" si="0"/>
        <v>9.3508500772797518</v>
      </c>
      <c r="X11" s="4">
        <f t="shared" si="0"/>
        <v>61.823802163833072</v>
      </c>
    </row>
    <row r="12" spans="1:24" x14ac:dyDescent="0.2">
      <c r="A12" s="1" t="s">
        <v>30</v>
      </c>
      <c r="B12" s="2" t="s">
        <v>25</v>
      </c>
      <c r="C12" s="3">
        <v>52.1753</v>
      </c>
      <c r="D12" s="4">
        <f>837/5000*100</f>
        <v>16.739999999999998</v>
      </c>
      <c r="E12" s="4">
        <f>753/5000*100</f>
        <v>15.06</v>
      </c>
      <c r="F12" s="4">
        <f>341/5000*100</f>
        <v>6.8199999999999994</v>
      </c>
      <c r="G12" s="4">
        <f>2204/5000*100</f>
        <v>44.080000000000005</v>
      </c>
      <c r="H12" s="4">
        <f>3298/5000*100</f>
        <v>65.959999999999994</v>
      </c>
      <c r="I12" s="4">
        <f>77/5000*100</f>
        <v>1.54</v>
      </c>
      <c r="J12" s="4">
        <f>173/5000*100</f>
        <v>3.46</v>
      </c>
      <c r="K12" s="4">
        <f>8/5000*100</f>
        <v>0.16</v>
      </c>
      <c r="L12" s="4">
        <f>1521/5000*100</f>
        <v>30.42</v>
      </c>
      <c r="M12" s="4">
        <f>1702/5000*100</f>
        <v>34.04</v>
      </c>
      <c r="O12" s="4">
        <f>229/5000*100</f>
        <v>4.58</v>
      </c>
      <c r="P12" s="4">
        <f>35/5000*100</f>
        <v>0.70000000000000007</v>
      </c>
      <c r="Q12" s="4">
        <f>36/5000*100</f>
        <v>0.72</v>
      </c>
      <c r="R12" s="1"/>
      <c r="S12" s="1" t="s">
        <v>30</v>
      </c>
      <c r="T12" s="3">
        <v>52.1753</v>
      </c>
      <c r="U12" s="4">
        <f t="shared" si="0"/>
        <v>18.279999999999998</v>
      </c>
      <c r="V12" s="4">
        <f t="shared" si="0"/>
        <v>18.52</v>
      </c>
      <c r="W12" s="4">
        <f t="shared" si="0"/>
        <v>6.9799999999999995</v>
      </c>
      <c r="X12" s="4">
        <f t="shared" si="0"/>
        <v>74.5</v>
      </c>
    </row>
    <row r="13" spans="1:24" x14ac:dyDescent="0.2">
      <c r="A13" s="5" t="s">
        <v>31</v>
      </c>
      <c r="B13" s="2" t="s">
        <v>25</v>
      </c>
      <c r="C13" s="4">
        <v>54.4</v>
      </c>
      <c r="D13" s="4">
        <f>26/2369*100</f>
        <v>1.0975094976783453</v>
      </c>
      <c r="E13" s="4">
        <f>266/2369*100</f>
        <v>11.22836639932461</v>
      </c>
      <c r="F13" s="4">
        <f>166/2369*100</f>
        <v>7.0071760236386655</v>
      </c>
      <c r="G13" s="4">
        <f>1033/2369*100</f>
        <v>43.604896580835792</v>
      </c>
      <c r="H13" s="4">
        <f>1465/2369*100</f>
        <v>61.840439003799077</v>
      </c>
      <c r="I13" s="4">
        <f>10/2369*100</f>
        <v>0.42211903756859437</v>
      </c>
      <c r="J13" s="4">
        <f>156/2369*100</f>
        <v>6.5850569860700716</v>
      </c>
      <c r="K13" s="4">
        <f>11/2369*100</f>
        <v>0.46433094132545383</v>
      </c>
      <c r="L13" s="4">
        <f>737/2369*100</f>
        <v>31.110173068805402</v>
      </c>
      <c r="M13" s="4">
        <f>904/2369*100</f>
        <v>38.159560996200931</v>
      </c>
      <c r="O13" s="4">
        <f>184/2369*100</f>
        <v>7.7669902912621351</v>
      </c>
      <c r="P13" s="4">
        <f>73/2369*100</f>
        <v>3.0814689742507388</v>
      </c>
      <c r="Q13" s="4">
        <f>182/2369*100</f>
        <v>7.6825664837484169</v>
      </c>
      <c r="R13" s="5"/>
      <c r="S13" s="5" t="s">
        <v>31</v>
      </c>
      <c r="T13" s="4">
        <v>54.4</v>
      </c>
      <c r="U13" s="4">
        <f t="shared" si="0"/>
        <v>1.5196285352469396</v>
      </c>
      <c r="V13" s="4">
        <f t="shared" si="0"/>
        <v>17.813423385394682</v>
      </c>
      <c r="W13" s="4">
        <f t="shared" si="0"/>
        <v>7.471506964964119</v>
      </c>
      <c r="X13" s="4">
        <f t="shared" si="0"/>
        <v>74.715069649641194</v>
      </c>
    </row>
    <row r="14" spans="1:24" x14ac:dyDescent="0.2">
      <c r="A14" s="1" t="s">
        <v>32</v>
      </c>
      <c r="B14" s="2" t="s">
        <v>25</v>
      </c>
      <c r="C14" s="3">
        <v>62.15</v>
      </c>
      <c r="D14" s="4">
        <f>347/2137*100</f>
        <v>16.237716424894714</v>
      </c>
      <c r="E14" s="4">
        <f>375/2137*100</f>
        <v>17.547964436125412</v>
      </c>
      <c r="F14" s="4">
        <f>132/2137*100</f>
        <v>6.1768834815161444</v>
      </c>
      <c r="G14" s="4">
        <f>1050/2137*100</f>
        <v>49.134300421151146</v>
      </c>
      <c r="H14" s="4">
        <f>1557/2137*100</f>
        <v>72.859148338792707</v>
      </c>
      <c r="I14" s="4">
        <f>103/2137*100</f>
        <v>4.8198408984557792</v>
      </c>
      <c r="J14" s="4">
        <f>87/2137*100</f>
        <v>4.0711277491810947</v>
      </c>
      <c r="K14" s="4">
        <f>7/2137*100</f>
        <v>0.32756200280767434</v>
      </c>
      <c r="L14" s="4">
        <f>486/2137*100</f>
        <v>22.742161909218531</v>
      </c>
      <c r="M14" s="4">
        <f>580/2137*100</f>
        <v>27.1408516612073</v>
      </c>
      <c r="O14" s="4">
        <f>261/2137*100</f>
        <v>12.213383247543284</v>
      </c>
      <c r="P14" s="4">
        <f>17/2137*100</f>
        <v>0.79550772110435186</v>
      </c>
      <c r="Q14" s="4">
        <f>107/2137*100</f>
        <v>5.0070191857744497</v>
      </c>
      <c r="R14" s="1"/>
      <c r="S14" s="1" t="s">
        <v>32</v>
      </c>
      <c r="T14" s="3">
        <v>62.15</v>
      </c>
      <c r="U14" s="4">
        <f t="shared" si="0"/>
        <v>21.057557323350494</v>
      </c>
      <c r="V14" s="4">
        <f t="shared" si="0"/>
        <v>21.619092185306506</v>
      </c>
      <c r="W14" s="4">
        <f t="shared" si="0"/>
        <v>6.5044454843238189</v>
      </c>
      <c r="X14" s="4">
        <f t="shared" si="0"/>
        <v>71.876462330369677</v>
      </c>
    </row>
    <row r="15" spans="1:24" x14ac:dyDescent="0.2">
      <c r="A15" s="1" t="s">
        <v>33</v>
      </c>
      <c r="B15" s="2" t="s">
        <v>25</v>
      </c>
      <c r="C15" s="3">
        <v>65.032899999999998</v>
      </c>
      <c r="D15" s="4">
        <f>1188/4299*100</f>
        <v>27.634333565945568</v>
      </c>
      <c r="E15" s="4">
        <f>403/4299*100</f>
        <v>9.3742730867643633</v>
      </c>
      <c r="F15" s="4">
        <f>305/4299*100</f>
        <v>7.0946731798092575</v>
      </c>
      <c r="G15" s="4">
        <f>2618/4299*100</f>
        <v>60.897883228657825</v>
      </c>
      <c r="H15" s="4">
        <f>3326/4299*100</f>
        <v>77.366829495231443</v>
      </c>
      <c r="I15" s="4">
        <f>92/4299*100</f>
        <v>2.1400325657129562</v>
      </c>
      <c r="J15" s="4">
        <f>238/4299*100</f>
        <v>5.5361712026052574</v>
      </c>
      <c r="K15" s="4">
        <f>12/4299*100</f>
        <v>0.27913468248429868</v>
      </c>
      <c r="L15" s="4">
        <f>723/4299*100</f>
        <v>16.817864619678996</v>
      </c>
      <c r="M15" s="4">
        <f>973/4299*100</f>
        <v>22.63317050476855</v>
      </c>
      <c r="O15" s="4">
        <f>288/4299*100</f>
        <v>6.6992323796231688</v>
      </c>
      <c r="P15" s="4">
        <f>102/4299*100</f>
        <v>2.3726448011165391</v>
      </c>
      <c r="Q15" s="4">
        <f>659/4299*100</f>
        <v>15.329146313096068</v>
      </c>
      <c r="R15" s="1"/>
      <c r="S15" s="1" t="s">
        <v>33</v>
      </c>
      <c r="T15" s="3">
        <v>65.032899999999998</v>
      </c>
      <c r="U15" s="4">
        <f t="shared" si="0"/>
        <v>29.774366131658525</v>
      </c>
      <c r="V15" s="4">
        <f t="shared" si="0"/>
        <v>14.910444289369622</v>
      </c>
      <c r="W15" s="4">
        <f t="shared" si="0"/>
        <v>7.3738078622935559</v>
      </c>
      <c r="X15" s="4">
        <f t="shared" si="0"/>
        <v>77.715747848336818</v>
      </c>
    </row>
    <row r="16" spans="1:24" x14ac:dyDescent="0.2">
      <c r="A16" s="1" t="s">
        <v>34</v>
      </c>
      <c r="B16" s="2" t="s">
        <v>25</v>
      </c>
      <c r="C16" s="3">
        <v>65.381349999999998</v>
      </c>
      <c r="D16" s="4">
        <f>636/3609*100</f>
        <v>17.622610141313384</v>
      </c>
      <c r="E16" s="4">
        <f>281/3609*100</f>
        <v>7.7860903297312278</v>
      </c>
      <c r="F16" s="4">
        <f>228/3609*100</f>
        <v>6.3175394846217783</v>
      </c>
      <c r="G16" s="4">
        <f>2151/3609*100</f>
        <v>59.600997506234407</v>
      </c>
      <c r="H16" s="4">
        <f>2660/3609*100</f>
        <v>73.70462732058742</v>
      </c>
      <c r="I16" s="4">
        <f>24/3609*100</f>
        <v>0.66500415627597675</v>
      </c>
      <c r="J16" s="4">
        <f>74/3609*100</f>
        <v>2.0504294818509283</v>
      </c>
      <c r="K16" s="4">
        <f>14/3609*100</f>
        <v>0.38791909116098644</v>
      </c>
      <c r="L16" s="4">
        <f>861/3609*100</f>
        <v>23.857024106400665</v>
      </c>
      <c r="M16" s="4">
        <f>949/3609*100</f>
        <v>26.295372679412583</v>
      </c>
      <c r="O16" s="4">
        <f>150/3609*100</f>
        <v>4.1562759767248547</v>
      </c>
      <c r="P16" s="4">
        <f>36/3609*100</f>
        <v>0.99750623441396502</v>
      </c>
      <c r="Q16" s="4">
        <f>207/3609*100</f>
        <v>5.7356608478802995</v>
      </c>
      <c r="R16" s="1"/>
      <c r="S16" s="1" t="s">
        <v>34</v>
      </c>
      <c r="T16" s="3">
        <v>65.381349999999998</v>
      </c>
      <c r="U16" s="4">
        <f t="shared" si="0"/>
        <v>18.287614297589361</v>
      </c>
      <c r="V16" s="4">
        <f t="shared" si="0"/>
        <v>9.836519811582157</v>
      </c>
      <c r="W16" s="4">
        <f t="shared" si="0"/>
        <v>6.7054585757827647</v>
      </c>
      <c r="X16" s="4">
        <f t="shared" si="0"/>
        <v>83.458021612635065</v>
      </c>
    </row>
    <row r="17" spans="1:24" x14ac:dyDescent="0.2">
      <c r="A17" s="1" t="s">
        <v>35</v>
      </c>
      <c r="B17" s="2" t="s">
        <v>25</v>
      </c>
      <c r="C17" s="4">
        <v>66.025000000000006</v>
      </c>
      <c r="D17" s="4">
        <f>193/2068*100</f>
        <v>9.3326885880077377</v>
      </c>
      <c r="E17" s="4">
        <f>158/2068*100</f>
        <v>7.6402321083172149</v>
      </c>
      <c r="F17" s="4">
        <f>214/2068*100</f>
        <v>10.348162475822051</v>
      </c>
      <c r="G17" s="4">
        <f>1158/2068*100</f>
        <v>55.996131528046419</v>
      </c>
      <c r="H17" s="4">
        <f>1530/2068*100</f>
        <v>73.984526112185691</v>
      </c>
      <c r="I17" s="4">
        <f>6/2068*100</f>
        <v>0.29013539651837528</v>
      </c>
      <c r="J17" s="4">
        <f>84/2068*100</f>
        <v>4.061895551257253</v>
      </c>
      <c r="K17" s="4">
        <f>9/2068*100</f>
        <v>0.43520309477756286</v>
      </c>
      <c r="L17" s="4">
        <f>445/2068*100</f>
        <v>21.518375241779498</v>
      </c>
      <c r="M17" s="4">
        <f>538/2068*100</f>
        <v>26.015473887814309</v>
      </c>
      <c r="O17" s="4">
        <f>106/2068*100</f>
        <v>5.1257253384912955</v>
      </c>
      <c r="P17" s="4">
        <f>27/2068*100</f>
        <v>1.3056092843326885</v>
      </c>
      <c r="Q17" s="4">
        <f>169/2068*100</f>
        <v>8.1721470019342366</v>
      </c>
      <c r="R17" s="1"/>
      <c r="S17" s="1" t="s">
        <v>35</v>
      </c>
      <c r="T17" s="4">
        <v>66.025000000000006</v>
      </c>
      <c r="U17" s="4">
        <f t="shared" si="0"/>
        <v>9.6228239845261125</v>
      </c>
      <c r="V17" s="4">
        <f t="shared" si="0"/>
        <v>11.702127659574469</v>
      </c>
      <c r="W17" s="4">
        <f t="shared" si="0"/>
        <v>10.783365570599614</v>
      </c>
      <c r="X17" s="4">
        <f t="shared" si="0"/>
        <v>77.514506769825914</v>
      </c>
    </row>
    <row r="18" spans="1:24" x14ac:dyDescent="0.2">
      <c r="A18" s="1" t="s">
        <v>36</v>
      </c>
      <c r="B18" s="2" t="s">
        <v>25</v>
      </c>
      <c r="C18" s="3">
        <v>69.650000000000006</v>
      </c>
      <c r="D18" s="4">
        <f>1480/4231*100</f>
        <v>34.979910186717092</v>
      </c>
      <c r="E18" s="4">
        <f>316/4231*100</f>
        <v>7.4686835263531082</v>
      </c>
      <c r="F18" s="4">
        <f>215/4231*100</f>
        <v>5.081541006854172</v>
      </c>
      <c r="G18" s="4">
        <f>2694/4231*100</f>
        <v>63.672890569605286</v>
      </c>
      <c r="H18" s="4">
        <f>3225/4231*100</f>
        <v>76.223115102812571</v>
      </c>
      <c r="I18" s="4">
        <f>54/4231*100</f>
        <v>1.2762940203261641</v>
      </c>
      <c r="J18" s="4">
        <f>334/4231*100</f>
        <v>7.8941148664618295</v>
      </c>
      <c r="K18" s="4">
        <f>10/4231*100</f>
        <v>0.23635074450484519</v>
      </c>
      <c r="L18" s="4">
        <f>662/4231*100</f>
        <v>15.646419286220754</v>
      </c>
      <c r="M18" s="4">
        <f>1006/4231*100</f>
        <v>23.776884897187426</v>
      </c>
      <c r="O18" s="4">
        <f>425/4231*100</f>
        <v>10.04490664145592</v>
      </c>
      <c r="P18" s="4">
        <f>84/4231*100</f>
        <v>1.9853462538406994</v>
      </c>
      <c r="Q18" s="4">
        <f>1534/4231*100</f>
        <v>36.256204207043254</v>
      </c>
      <c r="R18" s="1"/>
      <c r="S18" s="1" t="s">
        <v>36</v>
      </c>
      <c r="T18" s="3">
        <v>69.650000000000006</v>
      </c>
      <c r="U18" s="4">
        <f t="shared" ref="U18:X20" si="2">D18+I18</f>
        <v>36.256204207043254</v>
      </c>
      <c r="V18" s="4">
        <f t="shared" si="2"/>
        <v>15.362798392814938</v>
      </c>
      <c r="W18" s="4">
        <f t="shared" si="2"/>
        <v>5.3178917513590171</v>
      </c>
      <c r="X18" s="4">
        <f t="shared" si="2"/>
        <v>79.319309855826035</v>
      </c>
    </row>
    <row r="19" spans="1:24" x14ac:dyDescent="0.2">
      <c r="A19" s="1" t="s">
        <v>37</v>
      </c>
      <c r="B19" s="2" t="s">
        <v>38</v>
      </c>
      <c r="C19" s="3">
        <v>40.715800000000002</v>
      </c>
      <c r="D19" s="4">
        <f>410/4805*100</f>
        <v>8.5327783558792927</v>
      </c>
      <c r="E19" s="4">
        <f>1128/4805*100</f>
        <v>23.475546305931321</v>
      </c>
      <c r="F19" s="4">
        <f>528/4805*100</f>
        <v>10.988553590010405</v>
      </c>
      <c r="G19" s="4">
        <f>930/4805*100</f>
        <v>19.35483870967742</v>
      </c>
      <c r="H19" s="4">
        <f>2586/4805*100</f>
        <v>53.818938605619152</v>
      </c>
      <c r="I19" s="4">
        <f>106/4805*100</f>
        <v>2.206035379812695</v>
      </c>
      <c r="J19" s="4">
        <f>1319/4805*100</f>
        <v>27.450572320499479</v>
      </c>
      <c r="K19" s="4">
        <f>239/4805*100</f>
        <v>4.9739854318418315</v>
      </c>
      <c r="L19" s="4">
        <f>661/4805*100</f>
        <v>13.756503642039542</v>
      </c>
      <c r="M19" s="4">
        <f>2219/4805*100</f>
        <v>46.181061394380848</v>
      </c>
      <c r="O19" s="4">
        <f>230/4805*100</f>
        <v>4.7866805411030171</v>
      </c>
      <c r="P19" s="4">
        <f>239/4805*100</f>
        <v>4.9739854318418315</v>
      </c>
      <c r="Q19" s="4">
        <f>21/4805*100</f>
        <v>0.43704474505723201</v>
      </c>
      <c r="R19" s="1"/>
      <c r="S19" s="1" t="s">
        <v>37</v>
      </c>
      <c r="T19" s="3">
        <v>40.715800000000002</v>
      </c>
      <c r="U19" s="4">
        <f t="shared" si="2"/>
        <v>10.738813735691988</v>
      </c>
      <c r="V19" s="4">
        <f t="shared" si="2"/>
        <v>50.926118626430799</v>
      </c>
      <c r="W19" s="4">
        <f t="shared" si="2"/>
        <v>15.962539021852237</v>
      </c>
      <c r="X19" s="4">
        <f t="shared" si="2"/>
        <v>33.111342351716964</v>
      </c>
    </row>
    <row r="20" spans="1:24" x14ac:dyDescent="0.2">
      <c r="A20" s="1" t="s">
        <v>39</v>
      </c>
      <c r="B20" s="2" t="s">
        <v>38</v>
      </c>
      <c r="C20" s="3">
        <v>48.9</v>
      </c>
      <c r="D20" s="4">
        <f>631/4431*100</f>
        <v>14.240577747686753</v>
      </c>
      <c r="E20" s="4">
        <f>1216/4431*100</f>
        <v>27.443015120740238</v>
      </c>
      <c r="F20" s="4">
        <f>1683/4431*100</f>
        <v>37.982396750169265</v>
      </c>
      <c r="G20" s="4">
        <f>647/4431*100</f>
        <v>14.601670051907018</v>
      </c>
      <c r="H20" s="4">
        <f>3546/4431*100</f>
        <v>80.027081922816521</v>
      </c>
      <c r="I20" s="4">
        <f>25/4431*100</f>
        <v>0.56420672534416605</v>
      </c>
      <c r="J20" s="4">
        <f>265/4431*100</f>
        <v>5.9805912886481609</v>
      </c>
      <c r="K20" s="4">
        <f>73/4431*100</f>
        <v>1.6474836380049651</v>
      </c>
      <c r="L20" s="4">
        <f>547/4431*100</f>
        <v>12.344843150530355</v>
      </c>
      <c r="M20" s="4">
        <f>885/4431*100</f>
        <v>19.972918077183479</v>
      </c>
      <c r="O20" s="4">
        <f>163/4431*100</f>
        <v>3.6786278492439628</v>
      </c>
      <c r="P20" s="4">
        <f>116/4431*100</f>
        <v>2.6179192055969307</v>
      </c>
      <c r="Q20" s="4">
        <f>53/4431*100</f>
        <v>1.1961182577296321</v>
      </c>
      <c r="R20" s="1"/>
      <c r="S20" s="1" t="s">
        <v>39</v>
      </c>
      <c r="T20" s="3">
        <v>48.9</v>
      </c>
      <c r="U20" s="4">
        <f t="shared" si="2"/>
        <v>14.804784473030919</v>
      </c>
      <c r="V20" s="4">
        <f t="shared" si="2"/>
        <v>33.423606409388398</v>
      </c>
      <c r="W20" s="4">
        <f t="shared" si="2"/>
        <v>39.629880388174229</v>
      </c>
      <c r="X20" s="4">
        <f t="shared" si="2"/>
        <v>26.946513202437373</v>
      </c>
    </row>
    <row r="22" spans="1:24" x14ac:dyDescent="0.2">
      <c r="G22" t="s">
        <v>44</v>
      </c>
      <c r="H22" s="10">
        <f>MIN(H2:H20)</f>
        <v>52.239413680781752</v>
      </c>
      <c r="L22" t="s">
        <v>44</v>
      </c>
      <c r="M22" s="10">
        <f>MIN(M2:M20)</f>
        <v>16.630669546436287</v>
      </c>
    </row>
    <row r="23" spans="1:24" x14ac:dyDescent="0.2">
      <c r="G23" t="s">
        <v>45</v>
      </c>
      <c r="H23" s="10">
        <f>MAX(H2:H20)</f>
        <v>83.36933045356372</v>
      </c>
      <c r="L23" t="s">
        <v>45</v>
      </c>
      <c r="M23" s="10">
        <f>MAX(M2:M20)</f>
        <v>47.760586319218241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5A7A9-B9EC-F045-836A-39C565B2B2D0}">
  <dimension ref="A1:P23"/>
  <sheetViews>
    <sheetView workbookViewId="0">
      <selection activeCell="G23" sqref="G23"/>
    </sheetView>
  </sheetViews>
  <sheetFormatPr baseColWidth="10" defaultRowHeight="16" x14ac:dyDescent="0.2"/>
  <cols>
    <col min="1" max="1" width="32.83203125" customWidth="1"/>
    <col min="2" max="2" width="14" customWidth="1"/>
    <col min="14" max="14" width="17.5" customWidth="1"/>
    <col min="15" max="15" width="16.5" customWidth="1"/>
    <col min="16" max="16" width="16.83203125" customWidth="1"/>
  </cols>
  <sheetData>
    <row r="1" spans="1:16" s="9" customFormat="1" ht="51" x14ac:dyDescent="0.2">
      <c r="A1" s="8" t="s">
        <v>41</v>
      </c>
      <c r="B1" s="6" t="s">
        <v>1</v>
      </c>
      <c r="C1" s="8" t="s">
        <v>46</v>
      </c>
      <c r="D1" s="8" t="s">
        <v>3</v>
      </c>
      <c r="E1" s="8" t="s">
        <v>4</v>
      </c>
      <c r="F1" s="8" t="s">
        <v>5</v>
      </c>
      <c r="G1" s="8" t="s">
        <v>6</v>
      </c>
      <c r="H1" s="8" t="s">
        <v>47</v>
      </c>
      <c r="I1" s="8" t="s">
        <v>7</v>
      </c>
      <c r="J1" s="8" t="s">
        <v>8</v>
      </c>
      <c r="K1" s="8" t="s">
        <v>9</v>
      </c>
      <c r="L1" s="8" t="s">
        <v>10</v>
      </c>
      <c r="N1" s="8" t="s">
        <v>11</v>
      </c>
      <c r="O1" s="8" t="s">
        <v>12</v>
      </c>
      <c r="P1" s="8" t="s">
        <v>13</v>
      </c>
    </row>
    <row r="2" spans="1:16" x14ac:dyDescent="0.2">
      <c r="A2" s="5" t="s">
        <v>18</v>
      </c>
      <c r="B2" s="2" t="s">
        <v>19</v>
      </c>
      <c r="C2" s="4">
        <f>56/1000*100</f>
        <v>5.6000000000000005</v>
      </c>
      <c r="D2" s="4">
        <f>290/1000*100</f>
        <v>28.999999999999996</v>
      </c>
      <c r="E2" s="4">
        <f>102/1000*100</f>
        <v>10.199999999999999</v>
      </c>
      <c r="F2" s="4">
        <f>296/1000*100</f>
        <v>29.599999999999998</v>
      </c>
      <c r="G2" s="4">
        <f>688/1000*100</f>
        <v>68.8</v>
      </c>
      <c r="H2" s="4">
        <f>24/1000*100</f>
        <v>2.4</v>
      </c>
      <c r="I2" s="4">
        <f>99/1000*100</f>
        <v>9.9</v>
      </c>
      <c r="J2" s="4">
        <f>19/1000*100</f>
        <v>1.9</v>
      </c>
      <c r="K2" s="4">
        <f>194/1000*100</f>
        <v>19.400000000000002</v>
      </c>
      <c r="L2" s="4">
        <f>312/1000*100</f>
        <v>31.2</v>
      </c>
      <c r="M2" s="10"/>
      <c r="N2" s="4">
        <f>24/1000*100</f>
        <v>2.4</v>
      </c>
      <c r="O2" s="4">
        <f>71/1000*100</f>
        <v>7.1</v>
      </c>
      <c r="P2" s="4">
        <f>1/1000*100</f>
        <v>0.1</v>
      </c>
    </row>
    <row r="3" spans="1:16" x14ac:dyDescent="0.2">
      <c r="A3" s="5" t="s">
        <v>23</v>
      </c>
      <c r="B3" s="2" t="s">
        <v>19</v>
      </c>
      <c r="C3" s="4">
        <f>599/1000*100</f>
        <v>59.9</v>
      </c>
      <c r="D3" s="4">
        <f>679/1000*100</f>
        <v>67.900000000000006</v>
      </c>
      <c r="E3" s="4">
        <f>49/1000*100</f>
        <v>4.9000000000000004</v>
      </c>
      <c r="F3" s="4">
        <f>101/1000*100</f>
        <v>10.100000000000001</v>
      </c>
      <c r="G3" s="4">
        <f>829/1000*100</f>
        <v>82.899999999999991</v>
      </c>
      <c r="H3" s="4">
        <f>67/1000*100</f>
        <v>6.7</v>
      </c>
      <c r="I3" s="4">
        <f>89/1000*100</f>
        <v>8.9</v>
      </c>
      <c r="J3" s="4">
        <f>2/1000*100</f>
        <v>0.2</v>
      </c>
      <c r="K3" s="4">
        <f>80/1000*100</f>
        <v>8</v>
      </c>
      <c r="L3" s="4">
        <f>171/1000*100</f>
        <v>17.100000000000001</v>
      </c>
      <c r="M3" s="10"/>
      <c r="N3" s="4">
        <f>666/1000*100</f>
        <v>66.600000000000009</v>
      </c>
      <c r="O3" s="4">
        <f>10/1000*100</f>
        <v>1</v>
      </c>
      <c r="P3" s="4">
        <f>17/1000*100</f>
        <v>1.7000000000000002</v>
      </c>
    </row>
    <row r="4" spans="1:16" x14ac:dyDescent="0.2">
      <c r="A4" s="5" t="s">
        <v>21</v>
      </c>
      <c r="B4" s="2" t="s">
        <v>19</v>
      </c>
      <c r="C4" s="4">
        <f>163/1000*100</f>
        <v>16.3</v>
      </c>
      <c r="D4" s="4">
        <f>455/1000*100</f>
        <v>45.5</v>
      </c>
      <c r="E4" s="4">
        <f>85/1000*100</f>
        <v>8.5</v>
      </c>
      <c r="F4" s="4">
        <f>206/1000*100</f>
        <v>20.599999999999998</v>
      </c>
      <c r="G4" s="4">
        <f>746/1000*100</f>
        <v>74.599999999999994</v>
      </c>
      <c r="H4" s="4">
        <f>33/1000*100</f>
        <v>3.3000000000000003</v>
      </c>
      <c r="I4" s="4">
        <f>69/1000*100</f>
        <v>6.9</v>
      </c>
      <c r="J4" s="4">
        <f>1/1000*100</f>
        <v>0.1</v>
      </c>
      <c r="K4" s="4">
        <f>184/1000*100</f>
        <v>18.399999999999999</v>
      </c>
      <c r="L4" s="4">
        <f>254/1000*100</f>
        <v>25.4</v>
      </c>
      <c r="M4" s="10"/>
      <c r="N4" s="4">
        <f>89/1000*100</f>
        <v>8.9</v>
      </c>
      <c r="O4" s="4">
        <f>57/1000*100</f>
        <v>5.7</v>
      </c>
      <c r="P4" s="4">
        <f>37/1000*100</f>
        <v>3.6999999999999997</v>
      </c>
    </row>
    <row r="5" spans="1:16" x14ac:dyDescent="0.2">
      <c r="A5" s="5" t="s">
        <v>20</v>
      </c>
      <c r="B5" s="2" t="s">
        <v>19</v>
      </c>
      <c r="C5" s="4">
        <f>161/828*100</f>
        <v>19.444444444444446</v>
      </c>
      <c r="D5" s="4">
        <f>217/828*100</f>
        <v>26.207729468599034</v>
      </c>
      <c r="E5" s="4">
        <f>24/828*100</f>
        <v>2.8985507246376812</v>
      </c>
      <c r="F5" s="4">
        <f>216/828*100</f>
        <v>26.086956521739129</v>
      </c>
      <c r="G5" s="4">
        <f>457/828*100</f>
        <v>55.193236714975846</v>
      </c>
      <c r="H5" s="4">
        <f>47/828*100</f>
        <v>5.6763285024154593</v>
      </c>
      <c r="I5" s="4">
        <f>95/828*100</f>
        <v>11.473429951690822</v>
      </c>
      <c r="J5" s="4">
        <f>23/828*100</f>
        <v>2.7777777777777777</v>
      </c>
      <c r="K5" s="4">
        <f>253/828*100</f>
        <v>30.555555555555557</v>
      </c>
      <c r="L5" s="4">
        <f>371/828*100</f>
        <v>44.806763285024154</v>
      </c>
      <c r="M5" s="10"/>
      <c r="N5" s="4">
        <f>48/828*100</f>
        <v>5.7971014492753623</v>
      </c>
      <c r="O5" s="4">
        <f>21/828*100</f>
        <v>2.5362318840579712</v>
      </c>
      <c r="P5" s="4">
        <f>5/828*100</f>
        <v>0.60386473429951693</v>
      </c>
    </row>
    <row r="6" spans="1:16" x14ac:dyDescent="0.2">
      <c r="A6" s="5" t="s">
        <v>22</v>
      </c>
      <c r="B6" s="2" t="s">
        <v>19</v>
      </c>
      <c r="C6" s="4">
        <f>376/640*100</f>
        <v>58.75</v>
      </c>
      <c r="D6" s="4">
        <f>422/640*100</f>
        <v>65.9375</v>
      </c>
      <c r="E6" s="4">
        <f>42/640*100</f>
        <v>6.5625</v>
      </c>
      <c r="F6" s="4">
        <f>25/640*100</f>
        <v>3.90625</v>
      </c>
      <c r="G6" s="4">
        <f>489/640*100</f>
        <v>76.40625</v>
      </c>
      <c r="H6" s="4">
        <f>46/640*100</f>
        <v>7.1874999999999991</v>
      </c>
      <c r="I6" s="4">
        <f>68/640*100</f>
        <v>10.625</v>
      </c>
      <c r="J6" s="4">
        <f>4/640*100</f>
        <v>0.625</v>
      </c>
      <c r="K6" s="4">
        <f>79/640*100</f>
        <v>12.34375</v>
      </c>
      <c r="L6" s="4">
        <f>151/640*100</f>
        <v>23.59375</v>
      </c>
      <c r="M6" s="10"/>
      <c r="N6" s="4">
        <f>9/640*100</f>
        <v>1.40625</v>
      </c>
      <c r="O6" s="4">
        <f>422/640*100</f>
        <v>65.9375</v>
      </c>
      <c r="P6" s="4">
        <f>10/640*100</f>
        <v>1.5625</v>
      </c>
    </row>
    <row r="7" spans="1:16" x14ac:dyDescent="0.2">
      <c r="A7" s="5" t="s">
        <v>28</v>
      </c>
      <c r="B7" s="2" t="s">
        <v>25</v>
      </c>
      <c r="C7" s="4">
        <f>78/1000*100</f>
        <v>7.8</v>
      </c>
      <c r="D7" s="4">
        <f>96/1000*100</f>
        <v>9.6</v>
      </c>
      <c r="E7" s="4">
        <f>63/1000*100</f>
        <v>6.3</v>
      </c>
      <c r="F7" s="4">
        <f>373/1000*100</f>
        <v>37.299999999999997</v>
      </c>
      <c r="G7" s="4">
        <f>532/1000*100</f>
        <v>53.2</v>
      </c>
      <c r="H7" s="4">
        <f>6/1000*100</f>
        <v>0.6</v>
      </c>
      <c r="I7" s="4">
        <f>54/1000*100</f>
        <v>5.4</v>
      </c>
      <c r="J7" s="4">
        <f>2/1000*100</f>
        <v>0.2</v>
      </c>
      <c r="K7" s="4">
        <f>412/1000*100</f>
        <v>41.199999999999996</v>
      </c>
      <c r="L7" s="4">
        <f>468/1000*100</f>
        <v>46.800000000000004</v>
      </c>
      <c r="M7" s="10"/>
      <c r="N7" s="4">
        <f>49/1000*100</f>
        <v>4.9000000000000004</v>
      </c>
      <c r="O7" s="4">
        <f>33/1000*100</f>
        <v>3.3000000000000003</v>
      </c>
      <c r="P7" s="4">
        <f>68/1000*100</f>
        <v>6.8000000000000007</v>
      </c>
    </row>
    <row r="8" spans="1:16" x14ac:dyDescent="0.2">
      <c r="A8" s="5" t="s">
        <v>27</v>
      </c>
      <c r="B8" s="2" t="s">
        <v>25</v>
      </c>
      <c r="C8" s="4">
        <f>106/1000*100</f>
        <v>10.6</v>
      </c>
      <c r="D8" s="4">
        <f>333/1000*100</f>
        <v>33.300000000000004</v>
      </c>
      <c r="E8" s="4">
        <f>101/1000*100</f>
        <v>10.100000000000001</v>
      </c>
      <c r="F8" s="4">
        <f>287/1000*100</f>
        <v>28.7</v>
      </c>
      <c r="G8" s="4">
        <f>721/1000*100</f>
        <v>72.099999999999994</v>
      </c>
      <c r="H8" s="4">
        <f>9/1000*100</f>
        <v>0.89999999999999991</v>
      </c>
      <c r="I8" s="4">
        <f>62/1000*100</f>
        <v>6.2</v>
      </c>
      <c r="J8" s="4">
        <f>4/1000*100</f>
        <v>0.4</v>
      </c>
      <c r="K8" s="4">
        <f>213/1000*100</f>
        <v>21.3</v>
      </c>
      <c r="L8" s="4">
        <f>279/1000*100</f>
        <v>27.900000000000002</v>
      </c>
      <c r="M8" s="10"/>
      <c r="N8" s="4">
        <f>112/1000*100</f>
        <v>11.200000000000001</v>
      </c>
      <c r="O8" s="4">
        <f>49/1000*100</f>
        <v>4.9000000000000004</v>
      </c>
      <c r="P8" s="4">
        <f>19/1000*100</f>
        <v>1.9</v>
      </c>
    </row>
    <row r="9" spans="1:16" x14ac:dyDescent="0.2">
      <c r="A9" s="5" t="s">
        <v>32</v>
      </c>
      <c r="B9" s="2" t="s">
        <v>25</v>
      </c>
      <c r="C9" s="4">
        <f>183/1000*100</f>
        <v>18.3</v>
      </c>
      <c r="D9" s="4">
        <f>187/1000*100</f>
        <v>18.7</v>
      </c>
      <c r="E9" s="4">
        <f>71/1000*100</f>
        <v>7.1</v>
      </c>
      <c r="F9" s="4">
        <f>514/1000*100</f>
        <v>51.4</v>
      </c>
      <c r="G9" s="4">
        <f>772/1000*100</f>
        <v>77.2</v>
      </c>
      <c r="H9" s="4">
        <f>34/1000*100</f>
        <v>3.4000000000000004</v>
      </c>
      <c r="I9" s="4">
        <f>34/1000*100</f>
        <v>3.4000000000000004</v>
      </c>
      <c r="J9" s="4">
        <f>3/1000*100</f>
        <v>0.3</v>
      </c>
      <c r="K9" s="4">
        <f>191/1000*100</f>
        <v>19.100000000000001</v>
      </c>
      <c r="L9" s="4">
        <f>228/1000*100</f>
        <v>22.8</v>
      </c>
      <c r="M9" s="10"/>
      <c r="N9" s="4">
        <f>130/1000*100</f>
        <v>13</v>
      </c>
      <c r="O9" s="4">
        <f>14/1000*100</f>
        <v>1.4000000000000001</v>
      </c>
      <c r="P9" s="4">
        <f>57/1000*100</f>
        <v>5.7</v>
      </c>
    </row>
    <row r="10" spans="1:16" x14ac:dyDescent="0.2">
      <c r="A10" s="5" t="s">
        <v>34</v>
      </c>
      <c r="B10" s="2" t="s">
        <v>25</v>
      </c>
      <c r="C10" s="4">
        <f>184/1000*100</f>
        <v>18.399999999999999</v>
      </c>
      <c r="D10" s="4">
        <f>72/1000*100</f>
        <v>7.1999999999999993</v>
      </c>
      <c r="E10" s="4">
        <f>58/1000*100</f>
        <v>5.8000000000000007</v>
      </c>
      <c r="F10" s="4">
        <f>602/1000*100</f>
        <v>60.199999999999996</v>
      </c>
      <c r="G10" s="4">
        <f>732/1000*100</f>
        <v>73.2</v>
      </c>
      <c r="H10" s="4">
        <f>2/1000*100</f>
        <v>0.2</v>
      </c>
      <c r="I10" s="4">
        <f>23/1000*100</f>
        <v>2.2999999999999998</v>
      </c>
      <c r="J10" s="4">
        <f>4/1000*100</f>
        <v>0.4</v>
      </c>
      <c r="K10" s="4">
        <f>241/1000*100</f>
        <v>24.099999999999998</v>
      </c>
      <c r="L10" s="4">
        <f>268/1000*100</f>
        <v>26.8</v>
      </c>
      <c r="M10" s="10"/>
      <c r="N10" s="4">
        <f>39/1000*100</f>
        <v>3.9</v>
      </c>
      <c r="O10" s="4">
        <f>13/1000*100</f>
        <v>1.3</v>
      </c>
      <c r="P10" s="4">
        <f>77/1000*100</f>
        <v>7.7</v>
      </c>
    </row>
    <row r="11" spans="1:16" x14ac:dyDescent="0.2">
      <c r="A11" s="5" t="s">
        <v>26</v>
      </c>
      <c r="B11" s="2" t="s">
        <v>25</v>
      </c>
      <c r="C11" s="4">
        <f>8/68*100</f>
        <v>11.76470588235294</v>
      </c>
      <c r="D11" s="4">
        <f>6/68*100</f>
        <v>8.8235294117647065</v>
      </c>
      <c r="E11" s="4">
        <f>5/68*100</f>
        <v>7.3529411764705888</v>
      </c>
      <c r="F11" s="4">
        <f>34/68*100</f>
        <v>50</v>
      </c>
      <c r="G11" s="4">
        <f>45/68*100</f>
        <v>66.17647058823529</v>
      </c>
      <c r="H11" s="4">
        <f>1/68*100</f>
        <v>1.4705882352941175</v>
      </c>
      <c r="I11" s="4">
        <f>1/68*100</f>
        <v>1.4705882352941175</v>
      </c>
      <c r="J11" s="4">
        <v>0</v>
      </c>
      <c r="K11" s="4">
        <f>22/68*100</f>
        <v>32.352941176470587</v>
      </c>
      <c r="L11" s="4">
        <f>23/68*100</f>
        <v>33.82352941176471</v>
      </c>
      <c r="M11" s="10"/>
      <c r="N11" s="4">
        <v>0</v>
      </c>
      <c r="O11" s="4">
        <f>2/68*100</f>
        <v>2.9411764705882351</v>
      </c>
      <c r="P11" s="4">
        <f>1/68*100</f>
        <v>1.4705882352941175</v>
      </c>
    </row>
    <row r="12" spans="1:16" x14ac:dyDescent="0.2">
      <c r="A12" s="5" t="s">
        <v>30</v>
      </c>
      <c r="B12" s="2" t="s">
        <v>25</v>
      </c>
      <c r="C12" s="4">
        <f>158/1000*100</f>
        <v>15.8</v>
      </c>
      <c r="D12" s="4">
        <f>143/1000*100</f>
        <v>14.299999999999999</v>
      </c>
      <c r="E12" s="4">
        <f>81/1000*100</f>
        <v>8.1</v>
      </c>
      <c r="F12" s="4">
        <f>387/1000*100</f>
        <v>38.700000000000003</v>
      </c>
      <c r="G12" s="4">
        <f>611/1000*100</f>
        <v>61.1</v>
      </c>
      <c r="H12" s="4">
        <f>6/1000*100</f>
        <v>0.6</v>
      </c>
      <c r="I12" s="4">
        <f>37/1000*100</f>
        <v>3.6999999999999997</v>
      </c>
      <c r="J12" s="4">
        <f>4/1000*100</f>
        <v>0.4</v>
      </c>
      <c r="K12" s="4">
        <f>348/1000*100</f>
        <v>34.799999999999997</v>
      </c>
      <c r="L12" s="4">
        <f>389/1000*100</f>
        <v>38.9</v>
      </c>
      <c r="M12" s="10"/>
      <c r="N12" s="4">
        <f>44/1000*100</f>
        <v>4.3999999999999995</v>
      </c>
      <c r="O12" s="4">
        <f>12/1000*100</f>
        <v>1.2</v>
      </c>
      <c r="P12" s="4">
        <f>8/1000*100</f>
        <v>0.8</v>
      </c>
    </row>
    <row r="13" spans="1:16" x14ac:dyDescent="0.2">
      <c r="A13" s="5" t="s">
        <v>24</v>
      </c>
      <c r="B13" s="2" t="s">
        <v>25</v>
      </c>
      <c r="C13" s="4">
        <f>180/988*100</f>
        <v>18.218623481781375</v>
      </c>
      <c r="D13" s="4">
        <f>141/988*100</f>
        <v>14.271255060728743</v>
      </c>
      <c r="E13" s="4">
        <f>122/988*100</f>
        <v>12.348178137651821</v>
      </c>
      <c r="F13" s="4">
        <f>327/988*100</f>
        <v>33.097165991902834</v>
      </c>
      <c r="G13" s="4">
        <f>590/988*100</f>
        <v>59.716599190283404</v>
      </c>
      <c r="H13" s="4">
        <f>57/988*100</f>
        <v>5.7692307692307692</v>
      </c>
      <c r="I13" s="4">
        <f>92/988*100</f>
        <v>9.3117408906882595</v>
      </c>
      <c r="J13" s="4">
        <f>5/988*100</f>
        <v>0.50607287449392713</v>
      </c>
      <c r="K13" s="4">
        <f>301/988*100</f>
        <v>30.465587044534416</v>
      </c>
      <c r="L13" s="4">
        <f>398/988*100</f>
        <v>40.283400809716603</v>
      </c>
      <c r="M13" s="10"/>
      <c r="N13" s="4">
        <f>53/988*100</f>
        <v>5.3643724696356276</v>
      </c>
      <c r="O13" s="4">
        <f>48/988*100</f>
        <v>4.8582995951417001</v>
      </c>
      <c r="P13" s="4">
        <f>20/988*100</f>
        <v>2.0242914979757085</v>
      </c>
    </row>
    <row r="14" spans="1:16" x14ac:dyDescent="0.2">
      <c r="A14" s="5" t="s">
        <v>36</v>
      </c>
      <c r="B14" s="2" t="s">
        <v>25</v>
      </c>
      <c r="C14" s="4">
        <f>405/1000*100</f>
        <v>40.5</v>
      </c>
      <c r="D14" s="4">
        <f>67/1000*100</f>
        <v>6.7</v>
      </c>
      <c r="E14" s="4">
        <f>56/1000*100</f>
        <v>5.6000000000000005</v>
      </c>
      <c r="F14" s="4">
        <f>660/1000*100</f>
        <v>66</v>
      </c>
      <c r="G14" s="4">
        <f>783/1000*100</f>
        <v>78.3</v>
      </c>
      <c r="H14" s="4">
        <f>9/1000*100</f>
        <v>0.89999999999999991</v>
      </c>
      <c r="I14" s="4">
        <f>87/1000*100</f>
        <v>8.6999999999999993</v>
      </c>
      <c r="J14" s="4">
        <f>4/1000*100</f>
        <v>0.4</v>
      </c>
      <c r="K14" s="4">
        <f>126/1000*100</f>
        <v>12.6</v>
      </c>
      <c r="L14" s="4">
        <f>217/1000*100</f>
        <v>21.7</v>
      </c>
      <c r="M14" s="10"/>
      <c r="N14" s="4">
        <f>101/1000*100</f>
        <v>10.100000000000001</v>
      </c>
      <c r="O14" s="4">
        <f>19/1000*100</f>
        <v>1.9</v>
      </c>
      <c r="P14" s="4">
        <f>414/1000*100</f>
        <v>41.4</v>
      </c>
    </row>
    <row r="15" spans="1:16" x14ac:dyDescent="0.2">
      <c r="A15" s="5" t="s">
        <v>31</v>
      </c>
      <c r="B15" s="2" t="s">
        <v>25</v>
      </c>
      <c r="C15" s="4">
        <f>24/1000*100</f>
        <v>2.4</v>
      </c>
      <c r="D15" s="4">
        <f>98/1000*100</f>
        <v>9.8000000000000007</v>
      </c>
      <c r="E15" s="4">
        <f>68/1000*100</f>
        <v>6.8000000000000007</v>
      </c>
      <c r="F15" s="4">
        <f>381/1000*100</f>
        <v>38.1</v>
      </c>
      <c r="G15" s="4">
        <f>547/1000*100</f>
        <v>54.7</v>
      </c>
      <c r="H15" s="4">
        <f>11/1000*100</f>
        <v>1.0999999999999999</v>
      </c>
      <c r="I15" s="4">
        <f>81/1000*100</f>
        <v>8.1</v>
      </c>
      <c r="J15" s="4">
        <f>7/1000*100</f>
        <v>0.70000000000000007</v>
      </c>
      <c r="K15" s="4">
        <f>365/1000*100</f>
        <v>36.5</v>
      </c>
      <c r="L15" s="4">
        <f>453/1000*100</f>
        <v>45.300000000000004</v>
      </c>
      <c r="M15" s="10"/>
      <c r="N15" s="4">
        <f>55/1000*100</f>
        <v>5.5</v>
      </c>
      <c r="O15" s="4">
        <f>33/1000*100</f>
        <v>3.3000000000000003</v>
      </c>
      <c r="P15" s="4">
        <f>79/1000*100</f>
        <v>7.9</v>
      </c>
    </row>
    <row r="16" spans="1:16" x14ac:dyDescent="0.2">
      <c r="A16" s="5" t="s">
        <v>33</v>
      </c>
      <c r="B16" s="2" t="s">
        <v>25</v>
      </c>
      <c r="C16" s="4">
        <f>291/1000*100</f>
        <v>29.099999999999998</v>
      </c>
      <c r="D16" s="4">
        <f>75/1000*100</f>
        <v>7.5</v>
      </c>
      <c r="E16" s="4">
        <f>85/1000*100</f>
        <v>8.5</v>
      </c>
      <c r="F16" s="4">
        <f>612/1000*100</f>
        <v>61.199999999999996</v>
      </c>
      <c r="G16" s="4">
        <f>772/1000*100</f>
        <v>77.2</v>
      </c>
      <c r="H16" s="4">
        <f>27/1000*100</f>
        <v>2.7</v>
      </c>
      <c r="I16" s="4">
        <f>59/1000*100</f>
        <v>5.8999999999999995</v>
      </c>
      <c r="J16" s="4">
        <f>4/1000*100</f>
        <v>0.4</v>
      </c>
      <c r="K16" s="4">
        <f>165/1000*100</f>
        <v>16.5</v>
      </c>
      <c r="L16" s="4">
        <f>228/1000*100</f>
        <v>22.8</v>
      </c>
      <c r="M16" s="10"/>
      <c r="N16" s="4">
        <f>59/1000*100</f>
        <v>5.8999999999999995</v>
      </c>
      <c r="O16" s="4">
        <f>29/1000*100</f>
        <v>2.9000000000000004</v>
      </c>
      <c r="P16" s="4">
        <f>160/1000*100</f>
        <v>16</v>
      </c>
    </row>
    <row r="17" spans="1:16" x14ac:dyDescent="0.2">
      <c r="A17" s="5" t="s">
        <v>29</v>
      </c>
      <c r="B17" s="2" t="s">
        <v>25</v>
      </c>
      <c r="C17" s="4">
        <f>152/1000*100</f>
        <v>15.2</v>
      </c>
      <c r="D17" s="4">
        <f>190/1000*100</f>
        <v>19</v>
      </c>
      <c r="E17" s="4">
        <f>99/1000*100</f>
        <v>9.9</v>
      </c>
      <c r="F17" s="4">
        <f>358/1000*100</f>
        <v>35.799999999999997</v>
      </c>
      <c r="G17" s="4">
        <f>647/1000*100</f>
        <v>64.7</v>
      </c>
      <c r="H17" s="4">
        <f>7/1000*100</f>
        <v>0.70000000000000007</v>
      </c>
      <c r="I17" s="4">
        <f>82/1000*100</f>
        <v>8.2000000000000011</v>
      </c>
      <c r="J17" s="4">
        <f>5/1000*100</f>
        <v>0.5</v>
      </c>
      <c r="K17" s="4">
        <f>266/1000*100</f>
        <v>26.6</v>
      </c>
      <c r="L17" s="4">
        <f>353/1000*100</f>
        <v>35.299999999999997</v>
      </c>
      <c r="M17" s="10"/>
      <c r="N17" s="4">
        <f>106/1000*100</f>
        <v>10.6</v>
      </c>
      <c r="O17" s="4">
        <f>14/1000*100</f>
        <v>1.4000000000000001</v>
      </c>
      <c r="P17" s="4">
        <f>34/1000*100</f>
        <v>3.4000000000000004</v>
      </c>
    </row>
    <row r="18" spans="1:16" x14ac:dyDescent="0.2">
      <c r="A18" s="5" t="s">
        <v>40</v>
      </c>
      <c r="B18" s="2" t="s">
        <v>25</v>
      </c>
      <c r="C18" s="4">
        <f>127/1000*100</f>
        <v>12.7</v>
      </c>
      <c r="D18" s="4">
        <f>85/1000*100</f>
        <v>8.5</v>
      </c>
      <c r="E18" s="4">
        <f>83/1000*100</f>
        <v>8.3000000000000007</v>
      </c>
      <c r="F18" s="4">
        <f>561/1000*100</f>
        <v>56.100000000000009</v>
      </c>
      <c r="G18" s="4">
        <f>729/1000*100</f>
        <v>72.899999999999991</v>
      </c>
      <c r="H18" s="4">
        <f>11/1000*100</f>
        <v>1.0999999999999999</v>
      </c>
      <c r="I18" s="4">
        <f>43/1000*100</f>
        <v>4.3</v>
      </c>
      <c r="J18" s="4">
        <f>3/1000*100</f>
        <v>0.3</v>
      </c>
      <c r="K18" s="4">
        <f>225/1000*100</f>
        <v>22.5</v>
      </c>
      <c r="L18" s="4">
        <f>271/1000*100</f>
        <v>27.1</v>
      </c>
      <c r="M18" s="10"/>
      <c r="N18" s="4">
        <f>44/1000*100</f>
        <v>4.3999999999999995</v>
      </c>
      <c r="O18" s="4">
        <f>16/1000*100</f>
        <v>1.6</v>
      </c>
      <c r="P18" s="4">
        <f>62/1000*100</f>
        <v>6.2</v>
      </c>
    </row>
    <row r="19" spans="1:16" x14ac:dyDescent="0.2">
      <c r="A19" s="5" t="s">
        <v>37</v>
      </c>
      <c r="B19" s="2" t="s">
        <v>38</v>
      </c>
      <c r="C19" s="4">
        <f>62/1000*100</f>
        <v>6.2</v>
      </c>
      <c r="D19" s="4">
        <f>233/1000*100</f>
        <v>23.3</v>
      </c>
      <c r="E19" s="4">
        <f>88/1000*100</f>
        <v>8.7999999999999989</v>
      </c>
      <c r="F19" s="4">
        <f>211/1000*100</f>
        <v>21.099999999999998</v>
      </c>
      <c r="G19" s="4">
        <f>532/1000*100</f>
        <v>53.2</v>
      </c>
      <c r="H19" s="4">
        <f>18/1000*100</f>
        <v>1.7999999999999998</v>
      </c>
      <c r="I19" s="4">
        <f>258/1000*100</f>
        <v>25.8</v>
      </c>
      <c r="J19" s="4">
        <f>40/1000*100</f>
        <v>4</v>
      </c>
      <c r="K19" s="4">
        <f>170/1000*100</f>
        <v>17</v>
      </c>
      <c r="L19" s="4">
        <f>468/1000*100</f>
        <v>46.800000000000004</v>
      </c>
      <c r="M19" s="10"/>
      <c r="N19" s="4">
        <f>60/1000*100</f>
        <v>6</v>
      </c>
      <c r="O19" s="4">
        <f>43/1000*100</f>
        <v>4.3</v>
      </c>
      <c r="P19" s="4">
        <f>8/1000*100</f>
        <v>0.8</v>
      </c>
    </row>
    <row r="20" spans="1:16" x14ac:dyDescent="0.2">
      <c r="A20" s="5" t="s">
        <v>39</v>
      </c>
      <c r="B20" s="2" t="s">
        <v>38</v>
      </c>
      <c r="C20" s="4">
        <f>137/1000*100</f>
        <v>13.700000000000001</v>
      </c>
      <c r="D20" s="4">
        <f>236/1000*100</f>
        <v>23.599999999999998</v>
      </c>
      <c r="E20" s="4">
        <f>393/1000*100</f>
        <v>39.300000000000004</v>
      </c>
      <c r="F20" s="4">
        <f>182/1000*100</f>
        <v>18.2</v>
      </c>
      <c r="G20" s="4">
        <f>811/1000*100</f>
        <v>81.100000000000009</v>
      </c>
      <c r="H20" s="4">
        <f>6/1000*100</f>
        <v>0.6</v>
      </c>
      <c r="I20" s="4">
        <f>54/1000*100</f>
        <v>5.4</v>
      </c>
      <c r="J20" s="4">
        <f>17/1000*100</f>
        <v>1.7000000000000002</v>
      </c>
      <c r="K20" s="4">
        <f>118/1000*100</f>
        <v>11.799999999999999</v>
      </c>
      <c r="L20" s="4">
        <f>189/1000*100</f>
        <v>18.899999999999999</v>
      </c>
      <c r="M20" s="10"/>
      <c r="N20" s="4">
        <f>35/1000*100</f>
        <v>3.5000000000000004</v>
      </c>
      <c r="O20" s="4">
        <f>40/1000*100</f>
        <v>4</v>
      </c>
      <c r="P20" s="4">
        <f>17/1000*100</f>
        <v>1.7000000000000002</v>
      </c>
    </row>
    <row r="22" spans="1:16" x14ac:dyDescent="0.2">
      <c r="F22" t="s">
        <v>44</v>
      </c>
      <c r="G22" s="10">
        <f>MIN(G2:G20)</f>
        <v>53.2</v>
      </c>
      <c r="K22" t="s">
        <v>44</v>
      </c>
      <c r="L22" s="10">
        <f>MIN(L2:L20)</f>
        <v>17.100000000000001</v>
      </c>
    </row>
    <row r="23" spans="1:16" x14ac:dyDescent="0.2">
      <c r="F23" t="s">
        <v>45</v>
      </c>
      <c r="G23" s="10">
        <f>MAX(G2:G20)</f>
        <v>82.899999999999991</v>
      </c>
      <c r="K23" t="s">
        <v>45</v>
      </c>
      <c r="L23" s="10">
        <f>MAX(L2:L20)</f>
        <v>46.800000000000004</v>
      </c>
    </row>
  </sheetData>
  <sortState xmlns:xlrd2="http://schemas.microsoft.com/office/spreadsheetml/2017/richdata2" ref="A2:P20">
    <sortCondition ref="B2:B20"/>
    <sortCondition ref="A2:A20"/>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7659C-2F21-C745-826B-4074278B524E}">
  <dimension ref="A1:O23"/>
  <sheetViews>
    <sheetView workbookViewId="0">
      <selection activeCell="C26" sqref="C26"/>
    </sheetView>
  </sheetViews>
  <sheetFormatPr baseColWidth="10" defaultRowHeight="16" x14ac:dyDescent="0.2"/>
  <cols>
    <col min="1" max="1" width="29.1640625" customWidth="1"/>
  </cols>
  <sheetData>
    <row r="1" spans="1:15" s="9" customFormat="1" ht="51" x14ac:dyDescent="0.2">
      <c r="A1" s="14" t="s">
        <v>0</v>
      </c>
      <c r="B1" s="14" t="s">
        <v>1</v>
      </c>
      <c r="C1" s="14" t="s">
        <v>2</v>
      </c>
      <c r="D1" s="14" t="s">
        <v>42</v>
      </c>
      <c r="E1" s="14" t="s">
        <v>43</v>
      </c>
      <c r="F1" s="14" t="s">
        <v>46</v>
      </c>
      <c r="G1" s="14" t="s">
        <v>3</v>
      </c>
      <c r="H1" s="14" t="s">
        <v>4</v>
      </c>
      <c r="I1" s="14" t="s">
        <v>5</v>
      </c>
      <c r="J1" s="14" t="s">
        <v>6</v>
      </c>
      <c r="K1" s="14" t="s">
        <v>47</v>
      </c>
      <c r="L1" s="14" t="s">
        <v>7</v>
      </c>
      <c r="M1" s="14" t="s">
        <v>8</v>
      </c>
      <c r="N1" s="14" t="s">
        <v>9</v>
      </c>
      <c r="O1" s="14" t="s">
        <v>10</v>
      </c>
    </row>
    <row r="2" spans="1:15" x14ac:dyDescent="0.2">
      <c r="A2" s="11" t="s">
        <v>18</v>
      </c>
      <c r="B2" s="12" t="s">
        <v>19</v>
      </c>
      <c r="C2" s="13">
        <v>34.049999999999997</v>
      </c>
      <c r="D2" s="13">
        <v>47.27</v>
      </c>
      <c r="E2" s="13">
        <v>16.559999999999999</v>
      </c>
      <c r="F2" s="13">
        <v>1.31</v>
      </c>
      <c r="G2" s="13">
        <v>12.68</v>
      </c>
      <c r="H2" s="13">
        <v>1.25</v>
      </c>
      <c r="I2" s="13">
        <v>3.98</v>
      </c>
      <c r="J2" s="13">
        <v>17.91</v>
      </c>
      <c r="K2" s="13">
        <v>1.73</v>
      </c>
      <c r="L2" s="13">
        <v>5.45</v>
      </c>
      <c r="M2" s="13">
        <v>0.85</v>
      </c>
      <c r="N2" s="13">
        <v>11.95</v>
      </c>
      <c r="O2" s="13">
        <v>18.25</v>
      </c>
    </row>
    <row r="3" spans="1:15" x14ac:dyDescent="0.2">
      <c r="A3" s="11" t="s">
        <v>23</v>
      </c>
      <c r="B3" s="12" t="s">
        <v>19</v>
      </c>
      <c r="C3" s="13">
        <v>63.7</v>
      </c>
      <c r="D3" s="13">
        <v>10.55</v>
      </c>
      <c r="E3" s="13">
        <v>15.01</v>
      </c>
      <c r="F3" s="13">
        <v>50.14</v>
      </c>
      <c r="G3" s="13">
        <v>53.28</v>
      </c>
      <c r="H3" s="13">
        <v>0.97</v>
      </c>
      <c r="I3" s="13">
        <v>7.7</v>
      </c>
      <c r="J3" s="13">
        <v>61.95</v>
      </c>
      <c r="K3" s="13">
        <v>6.37</v>
      </c>
      <c r="L3" s="13">
        <v>7.74</v>
      </c>
      <c r="M3" s="13">
        <v>0.14000000000000001</v>
      </c>
      <c r="N3" s="13">
        <v>4.6100000000000003</v>
      </c>
      <c r="O3" s="13">
        <v>12.49</v>
      </c>
    </row>
    <row r="4" spans="1:15" x14ac:dyDescent="0.2">
      <c r="A4" s="11" t="s">
        <v>21</v>
      </c>
      <c r="B4" s="12" t="s">
        <v>19</v>
      </c>
      <c r="C4" s="13">
        <v>47.4</v>
      </c>
      <c r="D4" s="13">
        <v>28.43</v>
      </c>
      <c r="E4" s="13">
        <v>20.260000000000002</v>
      </c>
      <c r="F4" s="13">
        <v>8.82</v>
      </c>
      <c r="G4" s="13">
        <v>24.77</v>
      </c>
      <c r="H4" s="13">
        <v>0.72</v>
      </c>
      <c r="I4" s="13">
        <v>7.91</v>
      </c>
      <c r="J4" s="13">
        <v>33.4</v>
      </c>
      <c r="K4" s="13">
        <v>2.94</v>
      </c>
      <c r="L4" s="13">
        <v>4.58</v>
      </c>
      <c r="M4" s="13">
        <v>0.13</v>
      </c>
      <c r="N4" s="13">
        <v>13.2</v>
      </c>
      <c r="O4" s="13">
        <v>17.91</v>
      </c>
    </row>
    <row r="5" spans="1:15" x14ac:dyDescent="0.2">
      <c r="A5" s="11" t="s">
        <v>20</v>
      </c>
      <c r="B5" s="12" t="s">
        <v>19</v>
      </c>
      <c r="C5" s="13">
        <v>34.200000000000003</v>
      </c>
      <c r="D5" s="13">
        <v>33.82</v>
      </c>
      <c r="E5" s="13">
        <v>21.8</v>
      </c>
      <c r="F5" s="13">
        <v>4.3499999999999996</v>
      </c>
      <c r="G5" s="13">
        <v>7.61</v>
      </c>
      <c r="H5" s="13">
        <v>0</v>
      </c>
      <c r="I5" s="13">
        <v>8.82</v>
      </c>
      <c r="J5" s="13">
        <v>16.43</v>
      </c>
      <c r="K5" s="13">
        <v>1.93</v>
      </c>
      <c r="L5" s="13">
        <v>4.95</v>
      </c>
      <c r="M5" s="13">
        <v>1.81</v>
      </c>
      <c r="N5" s="13">
        <v>16.670000000000002</v>
      </c>
      <c r="O5" s="13">
        <v>23.43</v>
      </c>
    </row>
    <row r="6" spans="1:15" x14ac:dyDescent="0.2">
      <c r="A6" s="11" t="s">
        <v>22</v>
      </c>
      <c r="B6" s="12" t="s">
        <v>19</v>
      </c>
      <c r="C6" s="13">
        <v>49</v>
      </c>
      <c r="D6" s="13">
        <v>5.78</v>
      </c>
      <c r="E6" s="13">
        <v>9.06</v>
      </c>
      <c r="F6" s="13">
        <v>53.75</v>
      </c>
      <c r="G6" s="13">
        <v>57.97</v>
      </c>
      <c r="H6" s="13">
        <v>3.75</v>
      </c>
      <c r="I6" s="13">
        <v>2.19</v>
      </c>
      <c r="J6" s="13">
        <v>63.91</v>
      </c>
      <c r="K6" s="13">
        <v>7.03</v>
      </c>
      <c r="L6" s="13">
        <v>10.31</v>
      </c>
      <c r="M6" s="13">
        <v>0.63</v>
      </c>
      <c r="N6" s="13">
        <v>10.31</v>
      </c>
      <c r="O6" s="13">
        <v>21.25</v>
      </c>
    </row>
    <row r="7" spans="1:15" x14ac:dyDescent="0.2">
      <c r="A7" s="11" t="s">
        <v>28</v>
      </c>
      <c r="B7" s="12" t="s">
        <v>25</v>
      </c>
      <c r="C7" s="13">
        <v>45.9</v>
      </c>
      <c r="D7" s="13">
        <v>21.5</v>
      </c>
      <c r="E7" s="13">
        <v>32.130000000000003</v>
      </c>
      <c r="F7" s="13">
        <v>2.61</v>
      </c>
      <c r="G7" s="13">
        <v>3.05</v>
      </c>
      <c r="H7" s="13">
        <v>0.2</v>
      </c>
      <c r="I7" s="13">
        <v>15.31</v>
      </c>
      <c r="J7" s="13">
        <v>18.57</v>
      </c>
      <c r="K7" s="13">
        <v>0.53</v>
      </c>
      <c r="L7" s="13">
        <v>2.52</v>
      </c>
      <c r="M7" s="13">
        <v>0.08</v>
      </c>
      <c r="N7" s="13">
        <v>25.2</v>
      </c>
      <c r="O7" s="13">
        <v>27.81</v>
      </c>
    </row>
    <row r="8" spans="1:15" x14ac:dyDescent="0.2">
      <c r="A8" s="11" t="s">
        <v>27</v>
      </c>
      <c r="B8" s="12" t="s">
        <v>25</v>
      </c>
      <c r="C8" s="13">
        <v>42.15</v>
      </c>
      <c r="D8" s="13">
        <v>38.35</v>
      </c>
      <c r="E8" s="13">
        <v>22.59</v>
      </c>
      <c r="F8" s="13">
        <v>4.3499999999999996</v>
      </c>
      <c r="G8" s="13">
        <v>12.44</v>
      </c>
      <c r="H8" s="13">
        <v>0.36</v>
      </c>
      <c r="I8" s="13">
        <v>11.88</v>
      </c>
      <c r="J8" s="13">
        <v>24.68</v>
      </c>
      <c r="K8" s="13">
        <v>0.76</v>
      </c>
      <c r="L8" s="13">
        <v>2.65</v>
      </c>
      <c r="M8" s="13">
        <v>7.0000000000000007E-2</v>
      </c>
      <c r="N8" s="13">
        <v>11.65</v>
      </c>
      <c r="O8" s="13">
        <v>14.37</v>
      </c>
    </row>
    <row r="9" spans="1:15" x14ac:dyDescent="0.2">
      <c r="A9" s="11" t="s">
        <v>32</v>
      </c>
      <c r="B9" s="12" t="s">
        <v>25</v>
      </c>
      <c r="C9" s="13">
        <v>62.15</v>
      </c>
      <c r="D9" s="13">
        <v>18.53</v>
      </c>
      <c r="E9" s="13">
        <v>41.97</v>
      </c>
      <c r="F9" s="13">
        <v>6.83</v>
      </c>
      <c r="G9" s="13">
        <v>7.16</v>
      </c>
      <c r="H9" s="13">
        <v>0.09</v>
      </c>
      <c r="I9" s="13">
        <v>21.95</v>
      </c>
      <c r="J9" s="13">
        <v>29.2</v>
      </c>
      <c r="K9" s="13">
        <v>1.87</v>
      </c>
      <c r="L9" s="13">
        <v>1.82</v>
      </c>
      <c r="M9" s="13">
        <v>0.09</v>
      </c>
      <c r="N9" s="13">
        <v>8.3800000000000008</v>
      </c>
      <c r="O9" s="13">
        <v>10.29</v>
      </c>
    </row>
    <row r="10" spans="1:15" x14ac:dyDescent="0.2">
      <c r="A10" s="11" t="s">
        <v>34</v>
      </c>
      <c r="B10" s="12" t="s">
        <v>25</v>
      </c>
      <c r="C10" s="13">
        <v>65.38</v>
      </c>
      <c r="D10" s="13">
        <v>14.35</v>
      </c>
      <c r="E10" s="13">
        <v>45.25</v>
      </c>
      <c r="F10" s="13">
        <v>9.48</v>
      </c>
      <c r="G10" s="13">
        <v>2.13</v>
      </c>
      <c r="H10" s="13">
        <v>0.55000000000000004</v>
      </c>
      <c r="I10" s="13">
        <v>26.79</v>
      </c>
      <c r="J10" s="13">
        <v>29.48</v>
      </c>
      <c r="K10" s="13">
        <v>0.57999999999999996</v>
      </c>
      <c r="L10" s="13">
        <v>0.83</v>
      </c>
      <c r="M10" s="13">
        <v>0.14000000000000001</v>
      </c>
      <c r="N10" s="13">
        <v>9.9499999999999993</v>
      </c>
      <c r="O10" s="13">
        <v>10.92</v>
      </c>
    </row>
    <row r="11" spans="1:15" x14ac:dyDescent="0.2">
      <c r="A11" s="11" t="s">
        <v>26</v>
      </c>
      <c r="B11" s="12" t="s">
        <v>25</v>
      </c>
      <c r="C11" s="13">
        <v>40.6</v>
      </c>
      <c r="D11" s="13">
        <v>20.59</v>
      </c>
      <c r="E11" s="13">
        <v>39.71</v>
      </c>
      <c r="F11" s="13">
        <v>4.41</v>
      </c>
      <c r="G11" s="13">
        <v>1.47</v>
      </c>
      <c r="H11" s="13">
        <v>0</v>
      </c>
      <c r="I11" s="13">
        <v>20.59</v>
      </c>
      <c r="J11" s="13">
        <v>22.06</v>
      </c>
      <c r="K11" s="13">
        <v>1.47</v>
      </c>
      <c r="L11" s="13">
        <v>1.47</v>
      </c>
      <c r="M11" s="13">
        <v>0</v>
      </c>
      <c r="N11" s="13">
        <v>16.18</v>
      </c>
      <c r="O11" s="13">
        <v>17.649999999999999</v>
      </c>
    </row>
    <row r="12" spans="1:15" x14ac:dyDescent="0.2">
      <c r="A12" s="11" t="s">
        <v>30</v>
      </c>
      <c r="B12" s="12" t="s">
        <v>25</v>
      </c>
      <c r="C12" s="13">
        <v>52.18</v>
      </c>
      <c r="D12" s="13">
        <v>24.96</v>
      </c>
      <c r="E12" s="13">
        <v>44.42</v>
      </c>
      <c r="F12" s="13">
        <v>4.78</v>
      </c>
      <c r="G12" s="13">
        <v>3.18</v>
      </c>
      <c r="H12" s="13">
        <v>0.72</v>
      </c>
      <c r="I12" s="13">
        <v>12.66</v>
      </c>
      <c r="J12" s="13">
        <v>16.559999999999999</v>
      </c>
      <c r="K12" s="13">
        <v>1.1200000000000001</v>
      </c>
      <c r="L12" s="13">
        <v>1.34</v>
      </c>
      <c r="M12" s="13">
        <v>0.1</v>
      </c>
      <c r="N12" s="13">
        <v>12.62</v>
      </c>
      <c r="O12" s="13">
        <v>14.06</v>
      </c>
    </row>
    <row r="13" spans="1:15" x14ac:dyDescent="0.2">
      <c r="A13" s="11" t="s">
        <v>24</v>
      </c>
      <c r="B13" s="12" t="s">
        <v>25</v>
      </c>
      <c r="C13" s="13">
        <v>37.700000000000003</v>
      </c>
      <c r="D13" s="13">
        <v>19.7</v>
      </c>
      <c r="E13" s="13">
        <v>20.05</v>
      </c>
      <c r="F13" s="13">
        <v>8.75</v>
      </c>
      <c r="G13" s="13">
        <v>6.71</v>
      </c>
      <c r="H13" s="13">
        <v>2.12</v>
      </c>
      <c r="I13" s="13">
        <v>16.43</v>
      </c>
      <c r="J13" s="13">
        <v>25.27</v>
      </c>
      <c r="K13" s="13">
        <v>4.33</v>
      </c>
      <c r="L13" s="13">
        <v>9.6300000000000008</v>
      </c>
      <c r="M13" s="13">
        <v>0.62</v>
      </c>
      <c r="N13" s="13">
        <v>24.73</v>
      </c>
      <c r="O13" s="13">
        <v>34.979999999999997</v>
      </c>
    </row>
    <row r="14" spans="1:15" x14ac:dyDescent="0.2">
      <c r="A14" s="11" t="s">
        <v>36</v>
      </c>
      <c r="B14" s="12" t="s">
        <v>25</v>
      </c>
      <c r="C14" s="13">
        <v>69.650000000000006</v>
      </c>
      <c r="D14" s="13">
        <v>18.46</v>
      </c>
      <c r="E14" s="13">
        <v>19.55</v>
      </c>
      <c r="F14" s="13">
        <v>29.83</v>
      </c>
      <c r="G14" s="13">
        <v>3.66</v>
      </c>
      <c r="H14" s="13">
        <v>0.33</v>
      </c>
      <c r="I14" s="13">
        <v>43.84</v>
      </c>
      <c r="J14" s="13">
        <v>47.84</v>
      </c>
      <c r="K14" s="13">
        <v>1.02</v>
      </c>
      <c r="L14" s="13">
        <v>4.7</v>
      </c>
      <c r="M14" s="13">
        <v>0.09</v>
      </c>
      <c r="N14" s="13">
        <v>9.36</v>
      </c>
      <c r="O14" s="13">
        <v>14.16</v>
      </c>
    </row>
    <row r="15" spans="1:15" x14ac:dyDescent="0.2">
      <c r="A15" s="11" t="s">
        <v>31</v>
      </c>
      <c r="B15" s="12" t="s">
        <v>25</v>
      </c>
      <c r="C15" s="13">
        <v>54.4</v>
      </c>
      <c r="D15" s="13">
        <v>22.12</v>
      </c>
      <c r="E15" s="13">
        <v>31.11</v>
      </c>
      <c r="F15" s="13">
        <v>0.68</v>
      </c>
      <c r="G15" s="13">
        <v>4.47</v>
      </c>
      <c r="H15" s="13">
        <v>0.08</v>
      </c>
      <c r="I15" s="13">
        <v>21.02</v>
      </c>
      <c r="J15" s="13">
        <v>25.58</v>
      </c>
      <c r="K15" s="13">
        <v>0.3</v>
      </c>
      <c r="L15" s="13">
        <v>3.46</v>
      </c>
      <c r="M15" s="13">
        <v>0.21</v>
      </c>
      <c r="N15" s="13">
        <v>17.52</v>
      </c>
      <c r="O15" s="13">
        <v>21.19</v>
      </c>
    </row>
    <row r="16" spans="1:15" x14ac:dyDescent="0.2">
      <c r="A16" s="11" t="s">
        <v>33</v>
      </c>
      <c r="B16" s="12" t="s">
        <v>25</v>
      </c>
      <c r="C16" s="13">
        <v>65.03</v>
      </c>
      <c r="D16" s="13">
        <v>22.52</v>
      </c>
      <c r="E16" s="13">
        <v>25.26</v>
      </c>
      <c r="F16" s="13">
        <v>18.420000000000002</v>
      </c>
      <c r="G16" s="13">
        <v>2.91</v>
      </c>
      <c r="H16" s="13">
        <v>0.23</v>
      </c>
      <c r="I16" s="13">
        <v>36.869999999999997</v>
      </c>
      <c r="J16" s="13">
        <v>40.01</v>
      </c>
      <c r="K16" s="13">
        <v>1.37</v>
      </c>
      <c r="L16" s="13">
        <v>2.98</v>
      </c>
      <c r="M16" s="13">
        <v>0.16</v>
      </c>
      <c r="N16" s="13">
        <v>9.07</v>
      </c>
      <c r="O16" s="13">
        <v>12.21</v>
      </c>
    </row>
    <row r="17" spans="1:15" x14ac:dyDescent="0.2">
      <c r="A17" s="11" t="s">
        <v>29</v>
      </c>
      <c r="B17" s="12" t="s">
        <v>25</v>
      </c>
      <c r="C17" s="13">
        <v>48.9</v>
      </c>
      <c r="D17" s="13">
        <v>12.36</v>
      </c>
      <c r="E17" s="13">
        <v>32.380000000000003</v>
      </c>
      <c r="F17" s="13">
        <v>7.19</v>
      </c>
      <c r="G17" s="13">
        <v>11.36</v>
      </c>
      <c r="H17" s="13">
        <v>2.78</v>
      </c>
      <c r="I17" s="13">
        <v>18.010000000000002</v>
      </c>
      <c r="J17" s="13">
        <v>32.15</v>
      </c>
      <c r="K17" s="13">
        <v>0.46</v>
      </c>
      <c r="L17" s="13">
        <v>6.26</v>
      </c>
      <c r="M17" s="13">
        <v>0.46</v>
      </c>
      <c r="N17" s="13">
        <v>16.38</v>
      </c>
      <c r="O17" s="13">
        <v>23.11</v>
      </c>
    </row>
    <row r="18" spans="1:15" x14ac:dyDescent="0.2">
      <c r="A18" s="11" t="s">
        <v>35</v>
      </c>
      <c r="B18" s="12" t="s">
        <v>25</v>
      </c>
      <c r="C18" s="13">
        <v>66.03</v>
      </c>
      <c r="D18" s="13">
        <v>25.19</v>
      </c>
      <c r="E18" s="13">
        <v>35.979999999999997</v>
      </c>
      <c r="F18" s="13">
        <v>3.58</v>
      </c>
      <c r="G18" s="13">
        <v>2.13</v>
      </c>
      <c r="H18" s="13">
        <v>0.48</v>
      </c>
      <c r="I18" s="13">
        <v>24.76</v>
      </c>
      <c r="J18" s="13">
        <v>27.37</v>
      </c>
      <c r="K18" s="13">
        <v>0.28999999999999998</v>
      </c>
      <c r="L18" s="13">
        <v>1.69</v>
      </c>
      <c r="M18" s="13">
        <v>0.1</v>
      </c>
      <c r="N18" s="13">
        <v>9.67</v>
      </c>
      <c r="O18" s="13">
        <v>11.46</v>
      </c>
    </row>
    <row r="19" spans="1:15" x14ac:dyDescent="0.2">
      <c r="A19" s="11" t="s">
        <v>37</v>
      </c>
      <c r="B19" s="12" t="s">
        <v>38</v>
      </c>
      <c r="C19" s="13">
        <v>40.72</v>
      </c>
      <c r="D19" s="13">
        <v>53.38</v>
      </c>
      <c r="E19" s="13">
        <v>23.62</v>
      </c>
      <c r="F19" s="13">
        <v>0.23</v>
      </c>
      <c r="G19" s="13">
        <v>2.23</v>
      </c>
      <c r="H19" s="13">
        <v>0.4</v>
      </c>
      <c r="I19" s="13">
        <v>5.56</v>
      </c>
      <c r="J19" s="13">
        <v>8.18</v>
      </c>
      <c r="K19" s="13">
        <v>0.62</v>
      </c>
      <c r="L19" s="13">
        <v>6.24</v>
      </c>
      <c r="M19" s="13">
        <v>1.94</v>
      </c>
      <c r="N19" s="13">
        <v>6.64</v>
      </c>
      <c r="O19" s="13">
        <v>14.82</v>
      </c>
    </row>
    <row r="20" spans="1:15" x14ac:dyDescent="0.2">
      <c r="A20" s="11" t="s">
        <v>39</v>
      </c>
      <c r="B20" s="12" t="s">
        <v>38</v>
      </c>
      <c r="C20" s="13">
        <v>48.9</v>
      </c>
      <c r="D20" s="13">
        <v>19.34</v>
      </c>
      <c r="E20" s="13">
        <v>50.51</v>
      </c>
      <c r="F20" s="13">
        <v>1.6</v>
      </c>
      <c r="G20" s="13">
        <v>6.45</v>
      </c>
      <c r="H20" s="13">
        <v>7.2</v>
      </c>
      <c r="I20" s="13">
        <v>3.68</v>
      </c>
      <c r="J20" s="13">
        <v>17.329999999999998</v>
      </c>
      <c r="K20" s="13">
        <v>0.41</v>
      </c>
      <c r="L20" s="13">
        <v>4.97</v>
      </c>
      <c r="M20" s="13">
        <v>1.04</v>
      </c>
      <c r="N20" s="13">
        <v>5.8</v>
      </c>
      <c r="O20" s="13">
        <v>11.8</v>
      </c>
    </row>
    <row r="22" spans="1:15" x14ac:dyDescent="0.2">
      <c r="C22" t="s">
        <v>44</v>
      </c>
      <c r="D22" s="10">
        <f>MIN(D2:D20)</f>
        <v>5.78</v>
      </c>
      <c r="E22" s="10">
        <f>MIN(E2:E20)</f>
        <v>9.06</v>
      </c>
      <c r="I22" t="s">
        <v>44</v>
      </c>
      <c r="J22" s="10">
        <f>MIN(J2:J20)</f>
        <v>8.18</v>
      </c>
      <c r="N22" t="s">
        <v>44</v>
      </c>
      <c r="O22" s="10">
        <f>MIN(O2:O20)</f>
        <v>10.29</v>
      </c>
    </row>
    <row r="23" spans="1:15" x14ac:dyDescent="0.2">
      <c r="C23" t="s">
        <v>48</v>
      </c>
      <c r="D23" s="10">
        <f>MAX(D2:D20)</f>
        <v>53.38</v>
      </c>
      <c r="E23" s="10">
        <f>MAX(E2:E20)</f>
        <v>50.51</v>
      </c>
      <c r="I23" t="s">
        <v>48</v>
      </c>
      <c r="J23" s="10">
        <f>MAX(J2:J20)</f>
        <v>63.91</v>
      </c>
      <c r="N23" t="s">
        <v>48</v>
      </c>
      <c r="O23" s="10">
        <f>MAX(O2:O20)</f>
        <v>34.979999999999997</v>
      </c>
    </row>
  </sheetData>
  <sortState xmlns:xlrd2="http://schemas.microsoft.com/office/spreadsheetml/2017/richdata2" ref="A2:O20">
    <sortCondition ref="B2:B20"/>
    <sortCondition ref="A2:A20"/>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D1F70-FADA-F544-83E0-C1E89F734D06}">
  <dimension ref="A1:O23"/>
  <sheetViews>
    <sheetView workbookViewId="0">
      <selection activeCell="C22" sqref="C22:O23"/>
    </sheetView>
  </sheetViews>
  <sheetFormatPr baseColWidth="10" defaultRowHeight="16" x14ac:dyDescent="0.2"/>
  <cols>
    <col min="1" max="1" width="28.5" customWidth="1"/>
  </cols>
  <sheetData>
    <row r="1" spans="1:15" s="9" customFormat="1" ht="51" x14ac:dyDescent="0.2">
      <c r="A1" s="8" t="s">
        <v>41</v>
      </c>
      <c r="B1" s="8" t="s">
        <v>1</v>
      </c>
      <c r="C1" s="8" t="s">
        <v>2</v>
      </c>
      <c r="D1" s="8" t="s">
        <v>42</v>
      </c>
      <c r="E1" s="8" t="s">
        <v>43</v>
      </c>
      <c r="F1" s="8" t="s">
        <v>46</v>
      </c>
      <c r="G1" s="8" t="s">
        <v>3</v>
      </c>
      <c r="H1" s="8" t="s">
        <v>4</v>
      </c>
      <c r="I1" s="8" t="s">
        <v>5</v>
      </c>
      <c r="J1" s="8" t="s">
        <v>6</v>
      </c>
      <c r="K1" s="8" t="s">
        <v>47</v>
      </c>
      <c r="L1" s="8" t="s">
        <v>7</v>
      </c>
      <c r="M1" s="8" t="s">
        <v>8</v>
      </c>
      <c r="N1" s="8" t="s">
        <v>9</v>
      </c>
      <c r="O1" s="8" t="s">
        <v>10</v>
      </c>
    </row>
    <row r="2" spans="1:15" x14ac:dyDescent="0.2">
      <c r="A2" s="1" t="s">
        <v>18</v>
      </c>
      <c r="B2" s="2" t="s">
        <v>19</v>
      </c>
      <c r="C2" s="3">
        <v>34.049999999999997</v>
      </c>
      <c r="D2" s="3">
        <f>468/1000*100</f>
        <v>46.800000000000004</v>
      </c>
      <c r="E2" s="3">
        <f>137/1000*100</f>
        <v>13.700000000000001</v>
      </c>
      <c r="F2" s="4">
        <f>32/1000*100</f>
        <v>3.2</v>
      </c>
      <c r="G2" s="4">
        <f>140/1000*100</f>
        <v>14.000000000000002</v>
      </c>
      <c r="H2" s="4">
        <f>16/1000*100</f>
        <v>1.6</v>
      </c>
      <c r="I2" s="7">
        <f>43/1000*100</f>
        <v>4.3</v>
      </c>
      <c r="J2" s="4">
        <f>199/1000*100</f>
        <v>19.900000000000002</v>
      </c>
      <c r="K2" s="4">
        <f>19/1000*100</f>
        <v>1.9</v>
      </c>
      <c r="L2" s="4">
        <f>55/1000*100</f>
        <v>5.5</v>
      </c>
      <c r="M2" s="4">
        <f>13/1000*100</f>
        <v>1.3</v>
      </c>
      <c r="N2" s="4">
        <f>128/1000*100</f>
        <v>12.8</v>
      </c>
      <c r="O2" s="4">
        <f>196/1000*100</f>
        <v>19.600000000000001</v>
      </c>
    </row>
    <row r="3" spans="1:15" x14ac:dyDescent="0.2">
      <c r="A3" s="1" t="s">
        <v>23</v>
      </c>
      <c r="B3" s="2" t="s">
        <v>19</v>
      </c>
      <c r="C3" s="3">
        <v>63.7</v>
      </c>
      <c r="D3" s="3">
        <f>99/1000*100</f>
        <v>9.9</v>
      </c>
      <c r="E3" s="3">
        <f>159/1000*100</f>
        <v>15.9</v>
      </c>
      <c r="F3" s="4">
        <f>511/1000*100</f>
        <v>51.1</v>
      </c>
      <c r="G3" s="4">
        <f>539/1000*100</f>
        <v>53.900000000000006</v>
      </c>
      <c r="H3" s="4">
        <f>14/1000*100</f>
        <v>1.4000000000000001</v>
      </c>
      <c r="I3" s="4">
        <f>60/1000*100</f>
        <v>6</v>
      </c>
      <c r="J3" s="4">
        <f>613/1000*100</f>
        <v>61.3</v>
      </c>
      <c r="K3" s="4">
        <f>57/1000*100</f>
        <v>5.7</v>
      </c>
      <c r="L3" s="4">
        <f>76/1000*100</f>
        <v>7.6</v>
      </c>
      <c r="M3" s="4">
        <f>1/1000*100</f>
        <v>0.1</v>
      </c>
      <c r="N3" s="4">
        <f>52/1000*100</f>
        <v>5.2</v>
      </c>
      <c r="O3" s="4">
        <f>129/1000*100</f>
        <v>12.9</v>
      </c>
    </row>
    <row r="4" spans="1:15" x14ac:dyDescent="0.2">
      <c r="A4" s="1" t="s">
        <v>21</v>
      </c>
      <c r="B4" s="2" t="s">
        <v>19</v>
      </c>
      <c r="C4" s="3">
        <v>47.4</v>
      </c>
      <c r="D4" s="3">
        <f>281/1000*100</f>
        <v>28.1</v>
      </c>
      <c r="E4" s="3">
        <f>201/1000*100</f>
        <v>20.100000000000001</v>
      </c>
      <c r="F4" s="4">
        <f>103/1000*100</f>
        <v>10.299999999999999</v>
      </c>
      <c r="G4" s="4">
        <f>234/1000*100</f>
        <v>23.400000000000002</v>
      </c>
      <c r="H4" s="4">
        <f>6/1000*100</f>
        <v>0.6</v>
      </c>
      <c r="I4" s="4">
        <f>116/1000*100</f>
        <v>11.600000000000001</v>
      </c>
      <c r="J4" s="4">
        <f>356/1000*100</f>
        <v>35.6</v>
      </c>
      <c r="K4" s="4">
        <f>21/1000*100</f>
        <v>2.1</v>
      </c>
      <c r="L4" s="4">
        <f>43/1000*100</f>
        <v>4.3</v>
      </c>
      <c r="M4" s="4">
        <f>0/1000*100</f>
        <v>0</v>
      </c>
      <c r="N4" s="4">
        <f>119/1000*100</f>
        <v>11.899999999999999</v>
      </c>
      <c r="O4" s="4">
        <f>162/1000*100</f>
        <v>16.2</v>
      </c>
    </row>
    <row r="5" spans="1:15" x14ac:dyDescent="0.2">
      <c r="A5" s="1" t="s">
        <v>20</v>
      </c>
      <c r="B5" s="2" t="s">
        <v>19</v>
      </c>
      <c r="C5" s="3">
        <v>34.200000000000003</v>
      </c>
      <c r="D5" s="3">
        <f>274/829*100</f>
        <v>33.051869722557299</v>
      </c>
      <c r="E5" s="3">
        <f>218/829*100</f>
        <v>26.29674306393245</v>
      </c>
      <c r="F5" s="4">
        <f>38/829*100</f>
        <v>4.5838359469240046</v>
      </c>
      <c r="G5" s="4">
        <f>64/829*100</f>
        <v>7.7201447527141127</v>
      </c>
      <c r="H5" s="4">
        <f>1/829*100</f>
        <v>0.12062726176115801</v>
      </c>
      <c r="I5" s="4">
        <f>68/829*100</f>
        <v>8.2026537997587461</v>
      </c>
      <c r="J5" s="4">
        <f>131/829*100</f>
        <v>15.8021712907117</v>
      </c>
      <c r="K5" s="4">
        <f>21/829*100</f>
        <v>2.5331724969843186</v>
      </c>
      <c r="L5" s="4">
        <f>48/829*100</f>
        <v>5.7901085645355854</v>
      </c>
      <c r="M5" s="4">
        <f>7/829*100</f>
        <v>0.84439083232810619</v>
      </c>
      <c r="N5" s="4">
        <f>149/829*100</f>
        <v>17.973462002412546</v>
      </c>
      <c r="O5" s="4">
        <f>204/829*100</f>
        <v>24.607961399276238</v>
      </c>
    </row>
    <row r="6" spans="1:15" x14ac:dyDescent="0.2">
      <c r="A6" s="5" t="s">
        <v>22</v>
      </c>
      <c r="B6" s="2" t="s">
        <v>19</v>
      </c>
      <c r="C6" s="3">
        <v>49</v>
      </c>
      <c r="D6" s="3">
        <f>37/640*100</f>
        <v>5.78125</v>
      </c>
      <c r="E6" s="3">
        <f>58/640*100</f>
        <v>9.0625</v>
      </c>
      <c r="F6" s="4">
        <f>344/640*100</f>
        <v>53.75</v>
      </c>
      <c r="G6" s="4">
        <f>371/640*100</f>
        <v>57.96875</v>
      </c>
      <c r="H6" s="4">
        <f>24/640*100</f>
        <v>3.75</v>
      </c>
      <c r="I6" s="4">
        <f>14/640*100</f>
        <v>2.1875</v>
      </c>
      <c r="J6" s="4">
        <f>409/640*100</f>
        <v>63.90625</v>
      </c>
      <c r="K6" s="4">
        <f>45/640*100</f>
        <v>7.03125</v>
      </c>
      <c r="L6" s="4">
        <f>66/640*100</f>
        <v>10.3125</v>
      </c>
      <c r="M6" s="4">
        <f>4/640*100</f>
        <v>0.625</v>
      </c>
      <c r="N6" s="4">
        <f>66/640*100</f>
        <v>10.3125</v>
      </c>
      <c r="O6" s="4">
        <f>136/640*100</f>
        <v>21.25</v>
      </c>
    </row>
    <row r="7" spans="1:15" x14ac:dyDescent="0.2">
      <c r="A7" s="1" t="s">
        <v>28</v>
      </c>
      <c r="B7" s="2" t="s">
        <v>25</v>
      </c>
      <c r="C7" s="3">
        <v>45.9</v>
      </c>
      <c r="D7" s="3">
        <f>202/1000*100</f>
        <v>20.200000000000003</v>
      </c>
      <c r="E7" s="3">
        <f>344/1000*100</f>
        <v>34.4</v>
      </c>
      <c r="F7" s="4">
        <f>36/1000*100</f>
        <v>3.5999999999999996</v>
      </c>
      <c r="G7" s="4">
        <f>39/1000*100</f>
        <v>3.9</v>
      </c>
      <c r="H7" s="4">
        <f>5/1000*100</f>
        <v>0.5</v>
      </c>
      <c r="I7" s="4">
        <f>167/1000*100</f>
        <v>16.7</v>
      </c>
      <c r="J7" s="4">
        <f>211/1000*100</f>
        <v>21.099999999999998</v>
      </c>
      <c r="K7" s="4">
        <f>5/1000*100</f>
        <v>0.5</v>
      </c>
      <c r="L7" s="4">
        <f>26/1000*100</f>
        <v>2.6</v>
      </c>
      <c r="M7" s="4">
        <f>2/1000*100</f>
        <v>0.2</v>
      </c>
      <c r="N7" s="4">
        <f>215/1000*100</f>
        <v>21.5</v>
      </c>
      <c r="O7" s="4">
        <f>243/1000*100</f>
        <v>24.3</v>
      </c>
    </row>
    <row r="8" spans="1:15" x14ac:dyDescent="0.2">
      <c r="A8" s="1" t="s">
        <v>27</v>
      </c>
      <c r="B8" s="2" t="s">
        <v>25</v>
      </c>
      <c r="C8" s="3">
        <v>42.15</v>
      </c>
      <c r="D8" s="3">
        <f>380/1000*100</f>
        <v>38</v>
      </c>
      <c r="E8" s="3">
        <f>229/1000*100</f>
        <v>22.900000000000002</v>
      </c>
      <c r="F8" s="4">
        <f>50/1000*100</f>
        <v>5</v>
      </c>
      <c r="G8" s="4">
        <f>120/1000*100</f>
        <v>12</v>
      </c>
      <c r="H8" s="4">
        <f>3/1000*100</f>
        <v>0.3</v>
      </c>
      <c r="I8" s="4">
        <f>122/1000*100</f>
        <v>12.2</v>
      </c>
      <c r="J8" s="4">
        <f>245/1000*100</f>
        <v>24.5</v>
      </c>
      <c r="K8" s="4">
        <f>7/1000*100</f>
        <v>0.70000000000000007</v>
      </c>
      <c r="L8" s="4">
        <f>33/1000*100</f>
        <v>3.3000000000000003</v>
      </c>
      <c r="M8" s="4">
        <f>3/1000*100</f>
        <v>0.3</v>
      </c>
      <c r="N8" s="4">
        <f>110/1000*100</f>
        <v>11</v>
      </c>
      <c r="O8" s="4">
        <f>146/1000*100</f>
        <v>14.6</v>
      </c>
    </row>
    <row r="9" spans="1:15" x14ac:dyDescent="0.2">
      <c r="A9" s="1" t="s">
        <v>32</v>
      </c>
      <c r="B9" s="2" t="s">
        <v>25</v>
      </c>
      <c r="C9" s="3">
        <v>62.15</v>
      </c>
      <c r="D9" s="3">
        <f>215/1000*100</f>
        <v>21.5</v>
      </c>
      <c r="E9" s="3">
        <f>366/1000*100</f>
        <v>36.6</v>
      </c>
      <c r="F9" s="4">
        <f>81/1000*100</f>
        <v>8.1</v>
      </c>
      <c r="G9" s="4">
        <f>79/1000*100</f>
        <v>7.9</v>
      </c>
      <c r="H9" s="4">
        <f>1/1000*100</f>
        <v>0.1</v>
      </c>
      <c r="I9" s="4">
        <f>242/1000*100</f>
        <v>24.2</v>
      </c>
      <c r="J9" s="4">
        <f>322/1000*100</f>
        <v>32.200000000000003</v>
      </c>
      <c r="K9" s="4">
        <f>20/1000*100</f>
        <v>2</v>
      </c>
      <c r="L9" s="4">
        <f>6/1000*100</f>
        <v>0.6</v>
      </c>
      <c r="M9" s="4">
        <f>1/1000*100</f>
        <v>0.1</v>
      </c>
      <c r="N9" s="4">
        <f>90/1000*100</f>
        <v>9</v>
      </c>
      <c r="O9" s="4">
        <f>97/1000*100</f>
        <v>9.7000000000000011</v>
      </c>
    </row>
    <row r="10" spans="1:15" x14ac:dyDescent="0.2">
      <c r="A10" s="1" t="s">
        <v>34</v>
      </c>
      <c r="B10" s="2" t="s">
        <v>25</v>
      </c>
      <c r="C10" s="3">
        <v>65.381349999999998</v>
      </c>
      <c r="D10" s="3">
        <f>151/1000*100</f>
        <v>15.1</v>
      </c>
      <c r="E10" s="3">
        <f>427/1000*100</f>
        <v>42.699999999999996</v>
      </c>
      <c r="F10" s="4">
        <f>88/1000*100</f>
        <v>8.7999999999999989</v>
      </c>
      <c r="G10" s="4">
        <f>27/1000*100</f>
        <v>2.7</v>
      </c>
      <c r="H10" s="4">
        <f>13/1000*100</f>
        <v>1.3</v>
      </c>
      <c r="I10" s="4">
        <f>274/1000*100</f>
        <v>27.400000000000002</v>
      </c>
      <c r="J10" s="4">
        <f>314/1000*100</f>
        <v>31.4</v>
      </c>
      <c r="K10" s="4">
        <f>1/1000*100</f>
        <v>0.1</v>
      </c>
      <c r="L10" s="4">
        <f>9/1000*100</f>
        <v>0.89999999999999991</v>
      </c>
      <c r="M10" s="4">
        <f>1/1000*100</f>
        <v>0.1</v>
      </c>
      <c r="N10" s="4">
        <f>98/1000*100</f>
        <v>9.8000000000000007</v>
      </c>
      <c r="O10" s="4">
        <f>108/1000*100</f>
        <v>10.8</v>
      </c>
    </row>
    <row r="11" spans="1:15" x14ac:dyDescent="0.2">
      <c r="A11" s="1" t="s">
        <v>26</v>
      </c>
      <c r="B11" s="2" t="s">
        <v>25</v>
      </c>
      <c r="C11" s="3">
        <v>40.6</v>
      </c>
      <c r="D11" s="3">
        <f>14/68*100</f>
        <v>20.588235294117645</v>
      </c>
      <c r="E11" s="3">
        <f>27/68*100</f>
        <v>39.705882352941174</v>
      </c>
      <c r="F11" s="4">
        <f>3/68*100</f>
        <v>4.4117647058823533</v>
      </c>
      <c r="G11" s="4">
        <f>1/68*100</f>
        <v>1.4705882352941175</v>
      </c>
      <c r="H11" s="4">
        <f>0/68*100</f>
        <v>0</v>
      </c>
      <c r="I11" s="4">
        <f>14/68*100</f>
        <v>20.588235294117645</v>
      </c>
      <c r="J11" s="4">
        <f>15/68*100</f>
        <v>22.058823529411764</v>
      </c>
      <c r="K11" s="4">
        <f>1/68*100</f>
        <v>1.4705882352941175</v>
      </c>
      <c r="L11" s="4">
        <f>1/68*100</f>
        <v>1.4705882352941175</v>
      </c>
      <c r="M11" s="4">
        <v>0</v>
      </c>
      <c r="N11" s="4">
        <f>11/68*100</f>
        <v>16.176470588235293</v>
      </c>
      <c r="O11" s="4">
        <f>12/68*100</f>
        <v>17.647058823529413</v>
      </c>
    </row>
    <row r="12" spans="1:15" x14ac:dyDescent="0.2">
      <c r="A12" s="1" t="s">
        <v>30</v>
      </c>
      <c r="B12" s="2" t="s">
        <v>25</v>
      </c>
      <c r="C12" s="3">
        <v>52.1753</v>
      </c>
      <c r="D12" s="3">
        <f>225/1000*100</f>
        <v>22.5</v>
      </c>
      <c r="E12" s="3">
        <f>497/1000*100</f>
        <v>49.7</v>
      </c>
      <c r="F12" s="4">
        <f>47/1000*100</f>
        <v>4.7</v>
      </c>
      <c r="G12" s="4">
        <f>30/1000*100</f>
        <v>3</v>
      </c>
      <c r="H12" s="4">
        <f>8/1000*100</f>
        <v>0.8</v>
      </c>
      <c r="I12" s="4">
        <f>118/1000*100</f>
        <v>11.799999999999999</v>
      </c>
      <c r="J12" s="4">
        <f>156/1000*100</f>
        <v>15.6</v>
      </c>
      <c r="K12" s="4">
        <f>1/1000*100</f>
        <v>0.1</v>
      </c>
      <c r="L12" s="4">
        <f>17/1000*100</f>
        <v>1.7000000000000002</v>
      </c>
      <c r="M12" s="4">
        <f>3/1000*100</f>
        <v>0.3</v>
      </c>
      <c r="N12" s="4">
        <f>102/1000*100</f>
        <v>10.199999999999999</v>
      </c>
      <c r="O12" s="4">
        <f>122/1000*100</f>
        <v>12.2</v>
      </c>
    </row>
    <row r="13" spans="1:15" x14ac:dyDescent="0.2">
      <c r="A13" s="5" t="s">
        <v>24</v>
      </c>
      <c r="B13" s="2" t="s">
        <v>25</v>
      </c>
      <c r="C13" s="4">
        <v>37.700000000000003</v>
      </c>
      <c r="D13" s="4">
        <f>221/988*100</f>
        <v>22.368421052631579</v>
      </c>
      <c r="E13" s="4">
        <f>206/988*100</f>
        <v>20.850202429149796</v>
      </c>
      <c r="F13" s="4">
        <f>88/988*100</f>
        <v>8.9068825910931171</v>
      </c>
      <c r="G13" s="4">
        <f>75/988*100</f>
        <v>7.5910931174089065</v>
      </c>
      <c r="H13" s="4">
        <f>28/988*100</f>
        <v>2.834008097165992</v>
      </c>
      <c r="I13" s="4">
        <f>170/988*100</f>
        <v>17.20647773279352</v>
      </c>
      <c r="J13" s="4">
        <f>273/988*100</f>
        <v>27.631578947368425</v>
      </c>
      <c r="K13" s="4">
        <f>42/988*100</f>
        <v>4.2510121457489873</v>
      </c>
      <c r="L13" s="4">
        <f>80/988*100</f>
        <v>8.097165991902834</v>
      </c>
      <c r="M13" s="4">
        <f>3/988*100</f>
        <v>0.30364372469635625</v>
      </c>
      <c r="N13" s="4">
        <f>205/988*100</f>
        <v>20.748987854251013</v>
      </c>
      <c r="O13" s="4">
        <f>288/988*100</f>
        <v>29.1497975708502</v>
      </c>
    </row>
    <row r="14" spans="1:15" x14ac:dyDescent="0.2">
      <c r="A14" s="1" t="s">
        <v>36</v>
      </c>
      <c r="B14" s="2" t="s">
        <v>25</v>
      </c>
      <c r="C14" s="3">
        <v>69.650000000000006</v>
      </c>
      <c r="D14" s="3">
        <f>178/1000*100</f>
        <v>17.8</v>
      </c>
      <c r="E14" s="3">
        <f>182/1000*100</f>
        <v>18.2</v>
      </c>
      <c r="F14" s="4">
        <f>343/1000*100</f>
        <v>34.300000000000004</v>
      </c>
      <c r="G14" s="4">
        <f>33/1000*100</f>
        <v>3.3000000000000003</v>
      </c>
      <c r="H14" s="4">
        <f>5/1000*100</f>
        <v>0.5</v>
      </c>
      <c r="I14" s="4">
        <f>473/1000*100</f>
        <v>47.3</v>
      </c>
      <c r="J14" s="4">
        <f>511/1000*100</f>
        <v>51.1</v>
      </c>
      <c r="K14" s="4">
        <f>5/1000*100</f>
        <v>0.5</v>
      </c>
      <c r="L14" s="4">
        <f>53/1000*100</f>
        <v>5.3</v>
      </c>
      <c r="M14" s="4">
        <f>2/1000*100</f>
        <v>0.2</v>
      </c>
      <c r="N14" s="4">
        <f>74/1000*100</f>
        <v>7.3999999999999995</v>
      </c>
      <c r="O14" s="4">
        <f>129/1000*100</f>
        <v>12.9</v>
      </c>
    </row>
    <row r="15" spans="1:15" x14ac:dyDescent="0.2">
      <c r="A15" s="5" t="s">
        <v>31</v>
      </c>
      <c r="B15" s="2" t="s">
        <v>25</v>
      </c>
      <c r="C15" s="4">
        <v>54.4</v>
      </c>
      <c r="D15" s="4">
        <f>210/1000*100</f>
        <v>21</v>
      </c>
      <c r="E15" s="4">
        <f>305/1000*100</f>
        <v>30.5</v>
      </c>
      <c r="F15" s="4">
        <f>13/1000*100</f>
        <v>1.3</v>
      </c>
      <c r="G15" s="4">
        <f>32/1000*100</f>
        <v>3.2</v>
      </c>
      <c r="H15" s="4">
        <f>3/1000*100</f>
        <v>0.3</v>
      </c>
      <c r="I15" s="4">
        <f>187/1000*100</f>
        <v>18.7</v>
      </c>
      <c r="J15" s="4">
        <f>222/1000*100</f>
        <v>22.2</v>
      </c>
      <c r="K15" s="4">
        <f>9/1000*100</f>
        <v>0.89999999999999991</v>
      </c>
      <c r="L15" s="4">
        <f>37/1000*100</f>
        <v>3.6999999999999997</v>
      </c>
      <c r="M15" s="4">
        <f>4/1000*100</f>
        <v>0.4</v>
      </c>
      <c r="N15" s="4">
        <f>222/1000*100</f>
        <v>22.2</v>
      </c>
      <c r="O15" s="4">
        <f>263/1000*100</f>
        <v>26.3</v>
      </c>
    </row>
    <row r="16" spans="1:15" x14ac:dyDescent="0.2">
      <c r="A16" s="1" t="s">
        <v>33</v>
      </c>
      <c r="B16" s="2" t="s">
        <v>25</v>
      </c>
      <c r="C16" s="3">
        <v>65.032899999999998</v>
      </c>
      <c r="D16" s="3">
        <f>238/1000*100</f>
        <v>23.799999999999997</v>
      </c>
      <c r="E16" s="3">
        <f>223/1000*100</f>
        <v>22.3</v>
      </c>
      <c r="F16" s="4">
        <f>200/1000*100</f>
        <v>20</v>
      </c>
      <c r="G16" s="4">
        <f>34/1000*100</f>
        <v>3.4000000000000004</v>
      </c>
      <c r="H16" s="4">
        <f>4/1000*100</f>
        <v>0.4</v>
      </c>
      <c r="I16" s="4">
        <f>384/1000*100</f>
        <v>38.4</v>
      </c>
      <c r="J16" s="4">
        <f>422/1000*100</f>
        <v>42.199999999999996</v>
      </c>
      <c r="K16" s="4">
        <f>20/1000*100</f>
        <v>2</v>
      </c>
      <c r="L16" s="4">
        <f>33/1000*100</f>
        <v>3.3000000000000003</v>
      </c>
      <c r="M16" s="4">
        <f>1/1000*100</f>
        <v>0.1</v>
      </c>
      <c r="N16" s="4">
        <f>83/1000*100</f>
        <v>8.3000000000000007</v>
      </c>
      <c r="O16" s="4">
        <f>117/1000*100</f>
        <v>11.700000000000001</v>
      </c>
    </row>
    <row r="17" spans="1:15" x14ac:dyDescent="0.2">
      <c r="A17" s="5" t="s">
        <v>29</v>
      </c>
      <c r="B17" s="2" t="s">
        <v>25</v>
      </c>
      <c r="C17" s="4">
        <v>48.9</v>
      </c>
      <c r="D17" s="4">
        <f>113/1000*100</f>
        <v>11.3</v>
      </c>
      <c r="E17" s="4">
        <f>299/1000*100</f>
        <v>29.9</v>
      </c>
      <c r="F17" s="4">
        <f>88/1000*100</f>
        <v>8.7999999999999989</v>
      </c>
      <c r="G17" s="4">
        <f>115/1000*100</f>
        <v>11.5</v>
      </c>
      <c r="H17" s="4">
        <f>27/1000*100</f>
        <v>2.7</v>
      </c>
      <c r="I17" s="4">
        <f>210/1000*100</f>
        <v>21</v>
      </c>
      <c r="J17" s="4">
        <f>352/1000*100</f>
        <v>35.199999999999996</v>
      </c>
      <c r="K17" s="4">
        <f>6/1000*100</f>
        <v>0.6</v>
      </c>
      <c r="L17" s="4">
        <f>66/1000*100</f>
        <v>6.6000000000000005</v>
      </c>
      <c r="M17" s="4">
        <f>4/1000*100</f>
        <v>0.4</v>
      </c>
      <c r="N17" s="4">
        <f>166/1000*100</f>
        <v>16.600000000000001</v>
      </c>
      <c r="O17" s="4">
        <f>236/1000*100</f>
        <v>23.599999999999998</v>
      </c>
    </row>
    <row r="18" spans="1:15" x14ac:dyDescent="0.2">
      <c r="A18" s="1" t="s">
        <v>35</v>
      </c>
      <c r="B18" s="2" t="s">
        <v>25</v>
      </c>
      <c r="C18" s="4">
        <v>66.025000000000006</v>
      </c>
      <c r="D18" s="4">
        <f>218/1000*100</f>
        <v>21.8</v>
      </c>
      <c r="E18" s="4">
        <f>356/1000*100</f>
        <v>35.6</v>
      </c>
      <c r="F18" s="4">
        <f>59/1000*100</f>
        <v>5.8999999999999995</v>
      </c>
      <c r="G18" s="4">
        <f>26/1000*100</f>
        <v>2.6</v>
      </c>
      <c r="H18" s="4">
        <f>5/1000*100</f>
        <v>0.5</v>
      </c>
      <c r="I18" s="4">
        <f>266/1000*100</f>
        <v>26.6</v>
      </c>
      <c r="J18" s="4">
        <f>297/1000*100</f>
        <v>29.7</v>
      </c>
      <c r="K18" s="4">
        <f>7/1000*100</f>
        <v>0.70000000000000007</v>
      </c>
      <c r="L18" s="4">
        <f>14/1000*100</f>
        <v>1.4000000000000001</v>
      </c>
      <c r="M18" s="4">
        <f>1/1000*100</f>
        <v>0.1</v>
      </c>
      <c r="N18" s="4">
        <f>114/1000*100</f>
        <v>11.4</v>
      </c>
      <c r="O18" s="4">
        <f>129/1000*100</f>
        <v>12.9</v>
      </c>
    </row>
    <row r="19" spans="1:15" x14ac:dyDescent="0.2">
      <c r="A19" s="1" t="s">
        <v>37</v>
      </c>
      <c r="B19" s="2" t="s">
        <v>38</v>
      </c>
      <c r="C19" s="3">
        <v>40.715800000000002</v>
      </c>
      <c r="D19" s="3">
        <f>493/1000*100</f>
        <v>49.3</v>
      </c>
      <c r="E19" s="3">
        <f>234/1000*100</f>
        <v>23.400000000000002</v>
      </c>
      <c r="F19" s="4">
        <f>3/1000*100</f>
        <v>0.3</v>
      </c>
      <c r="G19" s="4">
        <f>31/1000*100</f>
        <v>3.1</v>
      </c>
      <c r="H19" s="4">
        <f>8/1000*100</f>
        <v>0.8</v>
      </c>
      <c r="I19" s="4">
        <f>74/1000*100</f>
        <v>7.3999999999999995</v>
      </c>
      <c r="J19" s="4">
        <f>113/1000*100</f>
        <v>11.3</v>
      </c>
      <c r="K19" s="4">
        <f>10/1000*100</f>
        <v>1</v>
      </c>
      <c r="L19" s="4">
        <f>60/1000*100</f>
        <v>6</v>
      </c>
      <c r="M19" s="4">
        <f>19/1000*100</f>
        <v>1.9</v>
      </c>
      <c r="N19" s="4">
        <f>81/1000*100</f>
        <v>8.1</v>
      </c>
      <c r="O19" s="4">
        <f>160/1000*100</f>
        <v>16</v>
      </c>
    </row>
    <row r="20" spans="1:15" x14ac:dyDescent="0.2">
      <c r="A20" s="1" t="s">
        <v>39</v>
      </c>
      <c r="B20" s="2" t="s">
        <v>38</v>
      </c>
      <c r="C20" s="3">
        <v>48.9</v>
      </c>
      <c r="D20" s="3">
        <f>216/1000*100</f>
        <v>21.6</v>
      </c>
      <c r="E20" s="3">
        <f>496/1000*100</f>
        <v>49.6</v>
      </c>
      <c r="F20" s="4">
        <f>16/1000*100</f>
        <v>1.6</v>
      </c>
      <c r="G20" s="2">
        <f>61/1000*100</f>
        <v>6.1</v>
      </c>
      <c r="H20" s="4">
        <f>75/1000*100</f>
        <v>7.5</v>
      </c>
      <c r="I20" s="4">
        <f>44/1000*100</f>
        <v>4.3999999999999995</v>
      </c>
      <c r="J20" s="4">
        <f>180/1000*100</f>
        <v>18</v>
      </c>
      <c r="K20" s="4">
        <f>6/1000*100</f>
        <v>0.6</v>
      </c>
      <c r="L20" s="4">
        <f>39/1000*100</f>
        <v>3.9</v>
      </c>
      <c r="M20" s="4">
        <f>9/1000*100</f>
        <v>0.89999999999999991</v>
      </c>
      <c r="N20" s="4">
        <f>60/1000*100</f>
        <v>6</v>
      </c>
      <c r="O20" s="4">
        <f>108/1000*100</f>
        <v>10.8</v>
      </c>
    </row>
    <row r="22" spans="1:15" x14ac:dyDescent="0.2">
      <c r="C22" t="s">
        <v>44</v>
      </c>
      <c r="D22" s="10">
        <f>MIN(D2:D20)</f>
        <v>5.78125</v>
      </c>
      <c r="E22" s="10">
        <f>MIN(E2:E20)</f>
        <v>9.0625</v>
      </c>
      <c r="I22" t="s">
        <v>44</v>
      </c>
      <c r="J22" s="10">
        <f>MIN(J2:J20)</f>
        <v>11.3</v>
      </c>
      <c r="N22" t="s">
        <v>44</v>
      </c>
      <c r="O22" s="10">
        <f>MIN(O2:O20)</f>
        <v>9.7000000000000011</v>
      </c>
    </row>
    <row r="23" spans="1:15" x14ac:dyDescent="0.2">
      <c r="C23" t="s">
        <v>48</v>
      </c>
      <c r="D23" s="10">
        <f>MAX(D2:D20)</f>
        <v>49.3</v>
      </c>
      <c r="E23" s="10">
        <f>MAX(E2:E20)</f>
        <v>49.7</v>
      </c>
      <c r="I23" t="s">
        <v>48</v>
      </c>
      <c r="J23" s="10">
        <f>MAX(J2:J20)</f>
        <v>63.90625</v>
      </c>
      <c r="N23" t="s">
        <v>48</v>
      </c>
      <c r="O23" s="10">
        <f>MAX(O2:O20)</f>
        <v>29.1497975708502</v>
      </c>
    </row>
  </sheetData>
  <sortState xmlns:xlrd2="http://schemas.microsoft.com/office/spreadsheetml/2017/richdata2" ref="A2:O20">
    <sortCondition ref="B2:B20"/>
    <sortCondition ref="A2:A20"/>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0F073-2814-8B4D-8F18-32556D739076}">
  <dimension ref="A1"/>
  <sheetViews>
    <sheetView tabSelected="1" zoomScale="101" workbookViewId="0"/>
  </sheetViews>
  <sheetFormatPr baseColWidth="10" defaultRowHeight="16"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1. Validation</vt:lpstr>
      <vt:lpstr>2. Training</vt:lpstr>
      <vt:lpstr>3. Validation - all models</vt:lpstr>
      <vt:lpstr>4. Training - all models</vt:lpstr>
      <vt:lpstr>README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Braun,Edward Louis</dc:creator>
  <cp:lastModifiedBy>Braun,Edward Louis</cp:lastModifiedBy>
  <dcterms:created xsi:type="dcterms:W3CDTF">2021-12-30T01:59:32Z</dcterms:created>
  <dcterms:modified xsi:type="dcterms:W3CDTF">2022-01-30T02:34:20Z</dcterms:modified>
</cp:coreProperties>
</file>