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PC\Downloads\"/>
    </mc:Choice>
  </mc:AlternateContent>
  <xr:revisionPtr revIDLastSave="0" documentId="13_ncr:1_{A3A4FF47-88F1-4851-BC5E-D1A103E94405}" xr6:coauthVersionLast="47" xr6:coauthVersionMax="47" xr10:uidLastSave="{00000000-0000-0000-0000-000000000000}"/>
  <bookViews>
    <workbookView xWindow="-110" yWindow="-110" windowWidth="19420" windowHeight="11020" firstSheet="5" activeTab="6" xr2:uid="{C8C3FBB5-D6DC-4588-9B6F-529255D1BF42}"/>
  </bookViews>
  <sheets>
    <sheet name="Baseline Calculation" sheetId="2" r:id="rId1"/>
    <sheet name="Sensitivity Analysis" sheetId="1" r:id="rId2"/>
    <sheet name="PV Economic Analysis" sheetId="7" r:id="rId3"/>
    <sheet name="O&amp;M_Sensitivity" sheetId="12" r:id="rId4"/>
    <sheet name="Diesel Gen. Economic Analysis" sheetId="8" r:id="rId5"/>
    <sheet name="Inverter Datasheet" sheetId="5" r:id="rId6"/>
    <sheet name="Energy_Power Use Calculation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" l="1"/>
  <c r="F10" i="1" l="1"/>
  <c r="C9" i="7"/>
  <c r="C55" i="2" l="1"/>
  <c r="H74" i="2"/>
  <c r="I74" i="2" s="1"/>
  <c r="H63" i="2"/>
  <c r="I63" i="2" s="1"/>
  <c r="J63" i="2" s="1"/>
  <c r="H64" i="2"/>
  <c r="I64" i="2" s="1"/>
  <c r="J64" i="2" s="1"/>
  <c r="H65" i="2"/>
  <c r="I65" i="2" s="1"/>
  <c r="J65" i="2" s="1"/>
  <c r="H66" i="2"/>
  <c r="I66" i="2" s="1"/>
  <c r="J66" i="2" s="1"/>
  <c r="H67" i="2"/>
  <c r="I67" i="2" s="1"/>
  <c r="J67" i="2" s="1"/>
  <c r="H68" i="2"/>
  <c r="I68" i="2" s="1"/>
  <c r="J68" i="2" s="1"/>
  <c r="H69" i="2"/>
  <c r="I69" i="2" s="1"/>
  <c r="J69" i="2" s="1"/>
  <c r="H70" i="2"/>
  <c r="I70" i="2" s="1"/>
  <c r="J70" i="2" s="1"/>
  <c r="H71" i="2"/>
  <c r="I71" i="2" s="1"/>
  <c r="J71" i="2" s="1"/>
  <c r="H72" i="2"/>
  <c r="I72" i="2" s="1"/>
  <c r="J72" i="2" s="1"/>
  <c r="H73" i="2"/>
  <c r="I73" i="2" s="1"/>
  <c r="J73" i="2" s="1"/>
  <c r="H62" i="2"/>
  <c r="I62" i="2" s="1"/>
  <c r="J62" i="2" s="1"/>
  <c r="I55" i="2"/>
  <c r="E49" i="2"/>
  <c r="E44" i="2"/>
  <c r="E45" i="2"/>
  <c r="E46" i="2"/>
  <c r="E47" i="2"/>
  <c r="E48" i="2"/>
  <c r="E50" i="2"/>
  <c r="E51" i="2"/>
  <c r="E52" i="2"/>
  <c r="E53" i="2"/>
  <c r="E54" i="2"/>
  <c r="E43" i="2"/>
  <c r="C12" i="7"/>
  <c r="C11" i="7"/>
  <c r="C7" i="8"/>
  <c r="B54" i="7"/>
  <c r="C54" i="7" s="1"/>
  <c r="D54" i="7" s="1"/>
  <c r="B55" i="7"/>
  <c r="C55" i="7" s="1"/>
  <c r="D55" i="7" s="1"/>
  <c r="B56" i="7"/>
  <c r="C56" i="7" s="1"/>
  <c r="D56" i="7" s="1"/>
  <c r="B57" i="7"/>
  <c r="C57" i="7" s="1"/>
  <c r="D57" i="7" s="1"/>
  <c r="B58" i="7"/>
  <c r="C58" i="7" s="1"/>
  <c r="D58" i="7" s="1"/>
  <c r="B59" i="7"/>
  <c r="C59" i="7" s="1"/>
  <c r="D59" i="7" s="1"/>
  <c r="B60" i="7"/>
  <c r="C60" i="7" s="1"/>
  <c r="D60" i="7" s="1"/>
  <c r="B61" i="7"/>
  <c r="C61" i="7" s="1"/>
  <c r="D61" i="7" s="1"/>
  <c r="B62" i="7"/>
  <c r="C62" i="7" s="1"/>
  <c r="D62" i="7" s="1"/>
  <c r="B63" i="7"/>
  <c r="C63" i="7" s="1"/>
  <c r="D63" i="7" s="1"/>
  <c r="B64" i="7"/>
  <c r="C64" i="7" s="1"/>
  <c r="D64" i="7" s="1"/>
  <c r="B65" i="7"/>
  <c r="C65" i="7" s="1"/>
  <c r="D65" i="7" s="1"/>
  <c r="B66" i="7"/>
  <c r="C66" i="7" s="1"/>
  <c r="D66" i="7" s="1"/>
  <c r="B67" i="7"/>
  <c r="C67" i="7" s="1"/>
  <c r="D67" i="7" s="1"/>
  <c r="B68" i="7"/>
  <c r="C68" i="7" s="1"/>
  <c r="D68" i="7" s="1"/>
  <c r="B69" i="7"/>
  <c r="C69" i="7" s="1"/>
  <c r="D69" i="7" s="1"/>
  <c r="B70" i="7"/>
  <c r="C70" i="7" s="1"/>
  <c r="D70" i="7" s="1"/>
  <c r="B71" i="7"/>
  <c r="C71" i="7" s="1"/>
  <c r="D71" i="7" s="1"/>
  <c r="B72" i="7"/>
  <c r="C72" i="7" s="1"/>
  <c r="D72" i="7" s="1"/>
  <c r="B73" i="7"/>
  <c r="C73" i="7" s="1"/>
  <c r="D73" i="7" s="1"/>
  <c r="B74" i="7"/>
  <c r="C74" i="7" s="1"/>
  <c r="D74" i="7" s="1"/>
  <c r="B75" i="7"/>
  <c r="C75" i="7" s="1"/>
  <c r="D75" i="7" s="1"/>
  <c r="B76" i="7"/>
  <c r="C76" i="7" s="1"/>
  <c r="D76" i="7" s="1"/>
  <c r="B77" i="7"/>
  <c r="C77" i="7" s="1"/>
  <c r="D77" i="7" s="1"/>
  <c r="B53" i="7"/>
  <c r="C53" i="7" s="1"/>
  <c r="C6" i="8"/>
  <c r="C3" i="8" s="1"/>
  <c r="B28" i="2"/>
  <c r="D28" i="2" s="1"/>
  <c r="E28" i="2" s="1"/>
  <c r="B11" i="2"/>
  <c r="B10" i="2"/>
  <c r="G10" i="1"/>
  <c r="J10" i="8"/>
  <c r="K10" i="8"/>
  <c r="L10" i="8"/>
  <c r="M10" i="8"/>
  <c r="N10" i="8"/>
  <c r="I11" i="8"/>
  <c r="K11" i="8"/>
  <c r="N11" i="8"/>
  <c r="O11" i="8"/>
  <c r="P11" i="8" s="1"/>
  <c r="I12" i="8"/>
  <c r="K12" i="8"/>
  <c r="N12" i="8"/>
  <c r="O12" i="8"/>
  <c r="P12" i="8" s="1"/>
  <c r="I13" i="8"/>
  <c r="K13" i="8"/>
  <c r="N13" i="8"/>
  <c r="O13" i="8"/>
  <c r="P13" i="8" s="1"/>
  <c r="I14" i="8"/>
  <c r="K14" i="8"/>
  <c r="N14" i="8"/>
  <c r="O14" i="8"/>
  <c r="P14" i="8" s="1"/>
  <c r="I15" i="8"/>
  <c r="K15" i="8"/>
  <c r="N15" i="8"/>
  <c r="O15" i="8"/>
  <c r="P15" i="8" s="1"/>
  <c r="I16" i="8"/>
  <c r="N16" i="8"/>
  <c r="O16" i="8"/>
  <c r="P16" i="8" s="1"/>
  <c r="I17" i="8"/>
  <c r="K17" i="8"/>
  <c r="N17" i="8"/>
  <c r="O17" i="8"/>
  <c r="P17" i="8" s="1"/>
  <c r="I18" i="8"/>
  <c r="K18" i="8"/>
  <c r="N18" i="8"/>
  <c r="O18" i="8"/>
  <c r="P18" i="8" s="1"/>
  <c r="I19" i="8"/>
  <c r="K19" i="8"/>
  <c r="N19" i="8"/>
  <c r="O19" i="8"/>
  <c r="P19" i="8" s="1"/>
  <c r="I20" i="8"/>
  <c r="K20" i="8"/>
  <c r="N20" i="8"/>
  <c r="O20" i="8"/>
  <c r="P20" i="8" s="1"/>
  <c r="I21" i="8"/>
  <c r="K21" i="8"/>
  <c r="N21" i="8"/>
  <c r="O21" i="8"/>
  <c r="P21" i="8" s="1"/>
  <c r="I22" i="8"/>
  <c r="N22" i="8"/>
  <c r="O22" i="8"/>
  <c r="P22" i="8"/>
  <c r="I23" i="8"/>
  <c r="K23" i="8"/>
  <c r="N23" i="8"/>
  <c r="O23" i="8"/>
  <c r="P23" i="8" s="1"/>
  <c r="I24" i="8"/>
  <c r="K24" i="8"/>
  <c r="N24" i="8"/>
  <c r="O24" i="8"/>
  <c r="P24" i="8" s="1"/>
  <c r="I25" i="8"/>
  <c r="K25" i="8"/>
  <c r="N25" i="8"/>
  <c r="O25" i="8"/>
  <c r="P25" i="8" s="1"/>
  <c r="I26" i="8"/>
  <c r="K26" i="8"/>
  <c r="N26" i="8"/>
  <c r="O26" i="8"/>
  <c r="P26" i="8" s="1"/>
  <c r="I27" i="8"/>
  <c r="K27" i="8"/>
  <c r="N27" i="8"/>
  <c r="O27" i="8"/>
  <c r="P27" i="8" s="1"/>
  <c r="I28" i="8"/>
  <c r="N28" i="8"/>
  <c r="O28" i="8"/>
  <c r="P28" i="8" s="1"/>
  <c r="I29" i="8"/>
  <c r="K29" i="8"/>
  <c r="N29" i="8"/>
  <c r="O29" i="8"/>
  <c r="P29" i="8" s="1"/>
  <c r="I30" i="8"/>
  <c r="K30" i="8"/>
  <c r="N30" i="8"/>
  <c r="O30" i="8"/>
  <c r="P30" i="8" s="1"/>
  <c r="I31" i="8"/>
  <c r="K31" i="8"/>
  <c r="N31" i="8"/>
  <c r="O31" i="8"/>
  <c r="P31" i="8" s="1"/>
  <c r="I32" i="8"/>
  <c r="K32" i="8"/>
  <c r="N32" i="8"/>
  <c r="O32" i="8"/>
  <c r="P32" i="8" s="1"/>
  <c r="I33" i="8"/>
  <c r="K33" i="8"/>
  <c r="N33" i="8"/>
  <c r="O33" i="8"/>
  <c r="P33" i="8" s="1"/>
  <c r="I34" i="8"/>
  <c r="N34" i="8"/>
  <c r="O34" i="8"/>
  <c r="P34" i="8" s="1"/>
  <c r="I35" i="8"/>
  <c r="K35" i="8"/>
  <c r="N35" i="8"/>
  <c r="O35" i="8"/>
  <c r="P35" i="8" s="1"/>
  <c r="E28" i="8" l="1"/>
  <c r="E16" i="8"/>
  <c r="E34" i="8"/>
  <c r="E22" i="8"/>
  <c r="K22" i="8" s="1"/>
  <c r="J74" i="2"/>
  <c r="C78" i="7"/>
  <c r="D53" i="7"/>
  <c r="D78" i="7" s="1"/>
  <c r="C10" i="8"/>
  <c r="E32" i="7"/>
  <c r="K32" i="7" s="1"/>
  <c r="N36" i="8"/>
  <c r="K28" i="8"/>
  <c r="K16" i="8"/>
  <c r="K34" i="8"/>
  <c r="P36" i="8"/>
  <c r="C40" i="8" s="1"/>
  <c r="C6" i="7"/>
  <c r="J16" i="7"/>
  <c r="K16" i="7"/>
  <c r="L16" i="7"/>
  <c r="M16" i="7"/>
  <c r="N16" i="7"/>
  <c r="I17" i="7"/>
  <c r="K17" i="7"/>
  <c r="N17" i="7"/>
  <c r="O17" i="7"/>
  <c r="P17" i="7" s="1"/>
  <c r="I18" i="7"/>
  <c r="K18" i="7"/>
  <c r="N18" i="7"/>
  <c r="O18" i="7"/>
  <c r="P18" i="7" s="1"/>
  <c r="I19" i="7"/>
  <c r="K19" i="7"/>
  <c r="N19" i="7"/>
  <c r="O19" i="7"/>
  <c r="P19" i="7" s="1"/>
  <c r="I20" i="7"/>
  <c r="K20" i="7"/>
  <c r="N20" i="7"/>
  <c r="O20" i="7"/>
  <c r="P20" i="7" s="1"/>
  <c r="I21" i="7"/>
  <c r="K21" i="7"/>
  <c r="N21" i="7"/>
  <c r="O21" i="7"/>
  <c r="P21" i="7" s="1"/>
  <c r="I22" i="7"/>
  <c r="K22" i="7"/>
  <c r="N22" i="7"/>
  <c r="O22" i="7"/>
  <c r="P22" i="7" s="1"/>
  <c r="I23" i="7"/>
  <c r="K23" i="7"/>
  <c r="N23" i="7"/>
  <c r="O23" i="7"/>
  <c r="P23" i="7" s="1"/>
  <c r="I24" i="7"/>
  <c r="K24" i="7"/>
  <c r="N24" i="7"/>
  <c r="O24" i="7"/>
  <c r="P24" i="7" s="1"/>
  <c r="I25" i="7"/>
  <c r="K25" i="7"/>
  <c r="N25" i="7"/>
  <c r="O25" i="7"/>
  <c r="P25" i="7" s="1"/>
  <c r="I26" i="7"/>
  <c r="K26" i="7"/>
  <c r="N26" i="7"/>
  <c r="O26" i="7"/>
  <c r="P26" i="7" s="1"/>
  <c r="I27" i="7"/>
  <c r="K27" i="7"/>
  <c r="N27" i="7"/>
  <c r="O27" i="7"/>
  <c r="P27" i="7" s="1"/>
  <c r="I28" i="7"/>
  <c r="K28" i="7"/>
  <c r="N28" i="7"/>
  <c r="O28" i="7"/>
  <c r="P28" i="7" s="1"/>
  <c r="I29" i="7"/>
  <c r="K29" i="7"/>
  <c r="N29" i="7"/>
  <c r="O29" i="7"/>
  <c r="P29" i="7" s="1"/>
  <c r="I30" i="7"/>
  <c r="K30" i="7"/>
  <c r="N30" i="7"/>
  <c r="O30" i="7"/>
  <c r="P30" i="7" s="1"/>
  <c r="I31" i="7"/>
  <c r="K31" i="7"/>
  <c r="N31" i="7"/>
  <c r="O31" i="7"/>
  <c r="P31" i="7" s="1"/>
  <c r="I32" i="7"/>
  <c r="N32" i="7"/>
  <c r="O32" i="7"/>
  <c r="P32" i="7" s="1"/>
  <c r="I33" i="7"/>
  <c r="K33" i="7"/>
  <c r="N33" i="7"/>
  <c r="O33" i="7"/>
  <c r="P33" i="7" s="1"/>
  <c r="I34" i="7"/>
  <c r="K34" i="7"/>
  <c r="N34" i="7"/>
  <c r="O34" i="7"/>
  <c r="P34" i="7" s="1"/>
  <c r="I35" i="7"/>
  <c r="K35" i="7"/>
  <c r="N35" i="7"/>
  <c r="O35" i="7"/>
  <c r="P35" i="7" s="1"/>
  <c r="I36" i="7"/>
  <c r="K36" i="7"/>
  <c r="N36" i="7"/>
  <c r="O36" i="7"/>
  <c r="P36" i="7" s="1"/>
  <c r="I37" i="7"/>
  <c r="K37" i="7"/>
  <c r="N37" i="7"/>
  <c r="O37" i="7"/>
  <c r="P37" i="7" s="1"/>
  <c r="I38" i="7"/>
  <c r="K38" i="7"/>
  <c r="N38" i="7"/>
  <c r="O38" i="7"/>
  <c r="P38" i="7" s="1"/>
  <c r="I39" i="7"/>
  <c r="K39" i="7"/>
  <c r="N39" i="7"/>
  <c r="O39" i="7"/>
  <c r="P39" i="7" s="1"/>
  <c r="I40" i="7"/>
  <c r="K40" i="7"/>
  <c r="N40" i="7"/>
  <c r="O40" i="7"/>
  <c r="P40" i="7" s="1"/>
  <c r="I41" i="7"/>
  <c r="K41" i="7"/>
  <c r="N41" i="7"/>
  <c r="O41" i="7"/>
  <c r="P41" i="7" s="1"/>
  <c r="C10" i="7" l="1"/>
  <c r="D32" i="7" s="1"/>
  <c r="J32" i="7" s="1"/>
  <c r="C8" i="12"/>
  <c r="C3" i="12"/>
  <c r="C7" i="12"/>
  <c r="C9" i="12"/>
  <c r="C6" i="12"/>
  <c r="C5" i="12"/>
  <c r="C4" i="12"/>
  <c r="I10" i="8"/>
  <c r="N42" i="7"/>
  <c r="C80" i="7" s="1"/>
  <c r="K42" i="7"/>
  <c r="K36" i="8"/>
  <c r="P42" i="7"/>
  <c r="C16" i="7"/>
  <c r="B8" i="2"/>
  <c r="B9" i="2" s="1"/>
  <c r="B13" i="2" s="1"/>
  <c r="D10" i="1"/>
  <c r="E10" i="1" s="1"/>
  <c r="I10" i="1" s="1"/>
  <c r="J10" i="1" s="1"/>
  <c r="K10" i="1" s="1"/>
  <c r="B14" i="2" l="1"/>
  <c r="B15" i="2" s="1"/>
  <c r="D28" i="7"/>
  <c r="J28" i="7" s="1"/>
  <c r="D21" i="7"/>
  <c r="J21" i="7" s="1"/>
  <c r="D19" i="7"/>
  <c r="J19" i="7" s="1"/>
  <c r="D33" i="7"/>
  <c r="J33" i="7" s="1"/>
  <c r="D41" i="7"/>
  <c r="J41" i="7" s="1"/>
  <c r="D20" i="7"/>
  <c r="J20" i="7" s="1"/>
  <c r="D22" i="7"/>
  <c r="J22" i="7" s="1"/>
  <c r="D18" i="7"/>
  <c r="J18" i="7" s="1"/>
  <c r="I16" i="7"/>
  <c r="C84" i="7" s="1"/>
  <c r="D17" i="7"/>
  <c r="J17" i="7" s="1"/>
  <c r="D30" i="7"/>
  <c r="J30" i="7" s="1"/>
  <c r="D37" i="7"/>
  <c r="J37" i="7" s="1"/>
  <c r="D27" i="7"/>
  <c r="J27" i="7" s="1"/>
  <c r="D23" i="7"/>
  <c r="J23" i="7" s="1"/>
  <c r="D35" i="7"/>
  <c r="J35" i="7" s="1"/>
  <c r="D38" i="7"/>
  <c r="J38" i="7" s="1"/>
  <c r="D25" i="7"/>
  <c r="J25" i="7" s="1"/>
  <c r="D36" i="7"/>
  <c r="J36" i="7" s="1"/>
  <c r="D40" i="7"/>
  <c r="J40" i="7" s="1"/>
  <c r="D26" i="7"/>
  <c r="J26" i="7" s="1"/>
  <c r="D29" i="7"/>
  <c r="J29" i="7" s="1"/>
  <c r="D34" i="7"/>
  <c r="J34" i="7" s="1"/>
  <c r="D31" i="7"/>
  <c r="J31" i="7" s="1"/>
  <c r="D39" i="7"/>
  <c r="J39" i="7" s="1"/>
  <c r="D24" i="7"/>
  <c r="J24" i="7" s="1"/>
  <c r="C45" i="7"/>
  <c r="C82" i="7"/>
  <c r="I36" i="8"/>
  <c r="C42" i="8"/>
  <c r="D28" i="8"/>
  <c r="J28" i="8" s="1"/>
  <c r="D31" i="8"/>
  <c r="J31" i="8" s="1"/>
  <c r="D30" i="8"/>
  <c r="J30" i="8" s="1"/>
  <c r="D29" i="8"/>
  <c r="J29" i="8" s="1"/>
  <c r="D23" i="8"/>
  <c r="J23" i="8" s="1"/>
  <c r="D22" i="8"/>
  <c r="J22" i="8" s="1"/>
  <c r="D21" i="8"/>
  <c r="J21" i="8" s="1"/>
  <c r="D17" i="8"/>
  <c r="J17" i="8" s="1"/>
  <c r="D15" i="8"/>
  <c r="J15" i="8" s="1"/>
  <c r="D14" i="8"/>
  <c r="J14" i="8" s="1"/>
  <c r="D13" i="8"/>
  <c r="J13" i="8" s="1"/>
  <c r="D18" i="8"/>
  <c r="J18" i="8" s="1"/>
  <c r="D20" i="8"/>
  <c r="J20" i="8" s="1"/>
  <c r="D16" i="8"/>
  <c r="J16" i="8" s="1"/>
  <c r="D11" i="8"/>
  <c r="J11" i="8" s="1"/>
  <c r="D32" i="8"/>
  <c r="J32" i="8" s="1"/>
  <c r="D35" i="8"/>
  <c r="J35" i="8" s="1"/>
  <c r="D33" i="8"/>
  <c r="J33" i="8" s="1"/>
  <c r="D24" i="8"/>
  <c r="J24" i="8" s="1"/>
  <c r="D19" i="8"/>
  <c r="J19" i="8" s="1"/>
  <c r="D27" i="8"/>
  <c r="J27" i="8" s="1"/>
  <c r="D25" i="8"/>
  <c r="J25" i="8" s="1"/>
  <c r="D12" i="8"/>
  <c r="J12" i="8" s="1"/>
  <c r="D26" i="8"/>
  <c r="J26" i="8" s="1"/>
  <c r="D34" i="8"/>
  <c r="J34" i="8" s="1"/>
  <c r="I42" i="7" l="1"/>
  <c r="C48" i="7"/>
  <c r="J42" i="7"/>
  <c r="J36" i="8"/>
  <c r="C44" i="7" l="1"/>
  <c r="C46" i="7" s="1"/>
  <c r="C81" i="7"/>
  <c r="C43" i="7"/>
  <c r="C38" i="8"/>
  <c r="C39" i="8"/>
  <c r="C41" i="8" s="1"/>
  <c r="C83" i="7" l="1"/>
</calcChain>
</file>

<file path=xl/sharedStrings.xml><?xml version="1.0" encoding="utf-8"?>
<sst xmlns="http://schemas.openxmlformats.org/spreadsheetml/2006/main" count="489" uniqueCount="237">
  <si>
    <t>Sh</t>
  </si>
  <si>
    <t>Energy Demand</t>
  </si>
  <si>
    <t>Daily Power</t>
  </si>
  <si>
    <t>kW/day</t>
  </si>
  <si>
    <t>kWh/day</t>
  </si>
  <si>
    <t>h (Average)</t>
  </si>
  <si>
    <t>fd</t>
  </si>
  <si>
    <t>Nmodules</t>
  </si>
  <si>
    <t>Module Power</t>
  </si>
  <si>
    <t>Wp @STC</t>
  </si>
  <si>
    <t>PV Capacity (kW)</t>
  </si>
  <si>
    <t>h (July)</t>
  </si>
  <si>
    <t>%</t>
  </si>
  <si>
    <t>kW</t>
  </si>
  <si>
    <t>Inverter Datasheet</t>
  </si>
  <si>
    <t>Parameters</t>
  </si>
  <si>
    <t>Value</t>
  </si>
  <si>
    <t>Rated Power</t>
  </si>
  <si>
    <t>80kW</t>
  </si>
  <si>
    <t>Peak Power</t>
  </si>
  <si>
    <t>240 kVA</t>
  </si>
  <si>
    <t>Battery Voltage</t>
  </si>
  <si>
    <t>384 VDC</t>
  </si>
  <si>
    <t>PV Input Voltage Range</t>
  </si>
  <si>
    <t>480V – 640V</t>
  </si>
  <si>
    <t>Charging Current</t>
  </si>
  <si>
    <t>100A</t>
  </si>
  <si>
    <t>Maximum PV Input Voltage</t>
  </si>
  <si>
    <t>800V</t>
  </si>
  <si>
    <t>Inverter Type</t>
  </si>
  <si>
    <t>Pure sine wave</t>
  </si>
  <si>
    <t>Efficiency</t>
  </si>
  <si>
    <t>&gt;95%</t>
  </si>
  <si>
    <t>Phase</t>
  </si>
  <si>
    <t>3/N/PE</t>
  </si>
  <si>
    <t>years</t>
  </si>
  <si>
    <t>Simple Payback</t>
  </si>
  <si>
    <t>IRR</t>
  </si>
  <si>
    <t>$</t>
  </si>
  <si>
    <t>Net Present Value</t>
  </si>
  <si>
    <t>Present Value Benefit</t>
  </si>
  <si>
    <t>Life Cycle Cost</t>
  </si>
  <si>
    <t>kWh</t>
  </si>
  <si>
    <t>LCOE</t>
  </si>
  <si>
    <t>Benefit</t>
  </si>
  <si>
    <t>Energy kWh</t>
  </si>
  <si>
    <t>Cost (salvage)</t>
  </si>
  <si>
    <t>Cost (other)</t>
  </si>
  <si>
    <t>Cost (repl)</t>
  </si>
  <si>
    <t>Cost (O&amp;M)</t>
  </si>
  <si>
    <t>Initial cost</t>
  </si>
  <si>
    <t>Initial Investment cost</t>
  </si>
  <si>
    <t>Year</t>
  </si>
  <si>
    <t>Initial Investment Cost</t>
  </si>
  <si>
    <t xml:space="preserve">O&amp;M Cost </t>
  </si>
  <si>
    <t>Tarrif rate</t>
  </si>
  <si>
    <t>Installation/Logistics</t>
  </si>
  <si>
    <t>Discount rate</t>
  </si>
  <si>
    <t>Inverter Cost</t>
  </si>
  <si>
    <t xml:space="preserve">Battery Cost </t>
  </si>
  <si>
    <t>Charge Controller</t>
  </si>
  <si>
    <t>PV Cost</t>
  </si>
  <si>
    <t>Battery Repl Cost</t>
  </si>
  <si>
    <t>Simple Payback Time</t>
  </si>
  <si>
    <t>O$M Cost</t>
  </si>
  <si>
    <t>Generator (Repl)</t>
  </si>
  <si>
    <t xml:space="preserve">Cost of Generator </t>
  </si>
  <si>
    <t>Inverter</t>
  </si>
  <si>
    <t>Input voltage range</t>
  </si>
  <si>
    <t>480V - 680V</t>
  </si>
  <si>
    <t>Nstrings</t>
  </si>
  <si>
    <t>Nmod/s</t>
  </si>
  <si>
    <t>V</t>
  </si>
  <si>
    <t>Nmod/s (min)</t>
  </si>
  <si>
    <t>Nmod/s (max)</t>
  </si>
  <si>
    <t>Module Vmp</t>
  </si>
  <si>
    <t>Module Imp</t>
  </si>
  <si>
    <t>A</t>
  </si>
  <si>
    <t>Voc</t>
  </si>
  <si>
    <t>Ioc</t>
  </si>
  <si>
    <t>Total Panel</t>
  </si>
  <si>
    <t>Panel Power (kW)</t>
  </si>
  <si>
    <t>Nmod/s -min</t>
  </si>
  <si>
    <t>Nmod/s -max</t>
  </si>
  <si>
    <t>Inverter Input voltage range</t>
  </si>
  <si>
    <t>Tc</t>
  </si>
  <si>
    <t>DA</t>
  </si>
  <si>
    <t>DM</t>
  </si>
  <si>
    <t>DOD</t>
  </si>
  <si>
    <t>Vbat</t>
  </si>
  <si>
    <t>Beff</t>
  </si>
  <si>
    <t>Battery Capacity</t>
  </si>
  <si>
    <t>Ah</t>
  </si>
  <si>
    <t>Battery Sizing Parameters</t>
  </si>
  <si>
    <t>System Voltage</t>
  </si>
  <si>
    <t xml:space="preserve">Battery Capacity </t>
  </si>
  <si>
    <t>Battery in Parallel</t>
  </si>
  <si>
    <t>Total  Battery</t>
  </si>
  <si>
    <t>DA (Days)</t>
  </si>
  <si>
    <t>Vin (min)</t>
  </si>
  <si>
    <t>Vin (max)</t>
  </si>
  <si>
    <t>Inverter Repl Cost</t>
  </si>
  <si>
    <t>Sh (h)</t>
  </si>
  <si>
    <t>Missing Energy</t>
  </si>
  <si>
    <t>Availabe Energy (kWh/year</t>
  </si>
  <si>
    <t>Useful Energy (kWh/year)</t>
  </si>
  <si>
    <t>Excess Energy (kWh/year)</t>
  </si>
  <si>
    <t>Performance Ratio (%)</t>
  </si>
  <si>
    <t>Solar Fraction (%)</t>
  </si>
  <si>
    <t>Designs</t>
  </si>
  <si>
    <t xml:space="preserve">Baseline </t>
  </si>
  <si>
    <t xml:space="preserve">Optimized </t>
  </si>
  <si>
    <t>User Energy Need (kWh/year)</t>
  </si>
  <si>
    <t>MARKET SQUARE</t>
  </si>
  <si>
    <t xml:space="preserve">Subject </t>
  </si>
  <si>
    <t xml:space="preserve">Power Rating (W) </t>
  </si>
  <si>
    <t>Quantity</t>
  </si>
  <si>
    <t>Total Power (kW)</t>
  </si>
  <si>
    <t>Daily Usage (h/day)</t>
  </si>
  <si>
    <t>Energy (kWh/day)</t>
  </si>
  <si>
    <t>Refrigeration – back freezer</t>
  </si>
  <si>
    <t>Refrigeration – back cooler</t>
  </si>
  <si>
    <t>Refrigeration – store freezer closed</t>
  </si>
  <si>
    <t>Refrigeration – store freezer open</t>
  </si>
  <si>
    <t>Refrigeration – store cooler closed</t>
  </si>
  <si>
    <t>Refrigeration -Total</t>
  </si>
  <si>
    <t>Lighting – Fluorescent T8</t>
  </si>
  <si>
    <t>Lighting – LED</t>
  </si>
  <si>
    <t>Lightening - Halogen</t>
  </si>
  <si>
    <t>Lighting – Total</t>
  </si>
  <si>
    <t>Air Conditioning</t>
  </si>
  <si>
    <t>Cooking</t>
  </si>
  <si>
    <t>Water Heating</t>
  </si>
  <si>
    <t>ICT – ATM Machine</t>
  </si>
  <si>
    <t>ICT – Computer, Monitor, Printer</t>
  </si>
  <si>
    <t>ICT – Cash Register</t>
  </si>
  <si>
    <t>ICT - Total</t>
  </si>
  <si>
    <t>ACTUAL TOTAL</t>
  </si>
  <si>
    <t>LIVINCHUN SUPERMARKET</t>
  </si>
  <si>
    <t>Amount</t>
  </si>
  <si>
    <t>Total Power (W)</t>
  </si>
  <si>
    <t>WELCOME YOU SUPERMARKET</t>
  </si>
  <si>
    <t xml:space="preserve">CHANRAIS SUPERMARKET </t>
  </si>
  <si>
    <t>EVERYDAY SUPERMARKET</t>
  </si>
  <si>
    <t>NEXTIME SUPERMARKET</t>
  </si>
  <si>
    <t>NEXT SUPERMARKET</t>
  </si>
  <si>
    <t>PRESENT VALUE</t>
  </si>
  <si>
    <t>BENEFITS</t>
  </si>
  <si>
    <t>BENEFIT</t>
  </si>
  <si>
    <t>Cost (Salvage)</t>
  </si>
  <si>
    <t>Cost (Other)</t>
  </si>
  <si>
    <t>Cost (Repl)</t>
  </si>
  <si>
    <t>Energy (kWh)</t>
  </si>
  <si>
    <t>O&amp;M Cost ($)</t>
  </si>
  <si>
    <t>kWh/yr</t>
  </si>
  <si>
    <t>Unused Energy</t>
  </si>
  <si>
    <t>Unsed Energy (kWh)</t>
  </si>
  <si>
    <t>Present Value of Energy</t>
  </si>
  <si>
    <t>Total Benefit</t>
  </si>
  <si>
    <t xml:space="preserve">Simple Pyaback </t>
  </si>
  <si>
    <t>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</si>
  <si>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</si>
  <si>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</si>
  <si>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</si>
  <si>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</si>
  <si>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</si>
  <si>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</si>
  <si>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</si>
  <si>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</si>
  <si>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</si>
  <si>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</si>
  <si>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</si>
  <si>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</si>
  <si>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Solar Fraction</t>
  </si>
  <si>
    <t>Performance Ratio</t>
  </si>
  <si>
    <t xml:space="preserve">Hour </t>
  </si>
  <si>
    <t>Daily Load Profile (kW)</t>
  </si>
  <si>
    <t>E_Avalable (kWh)</t>
  </si>
  <si>
    <t>E_User (kWh)</t>
  </si>
  <si>
    <t>E_Unused (kWh)</t>
  </si>
  <si>
    <t>E_Losses (kWh)</t>
  </si>
  <si>
    <t>E_Load (KWh)</t>
  </si>
  <si>
    <t>New simulation variant - Commercial Centre 2</t>
  </si>
  <si>
    <t>Customised table</t>
  </si>
  <si>
    <t>EBatDis</t>
  </si>
  <si>
    <t>EBatCh</t>
  </si>
  <si>
    <t>UBatDis</t>
  </si>
  <si>
    <t>IBatDis</t>
  </si>
  <si>
    <t>OutConv</t>
  </si>
  <si>
    <t>CnvLoss</t>
  </si>
  <si>
    <t xml:space="preserve">Coverter Energy </t>
  </si>
  <si>
    <t>Instant PV Output to User</t>
  </si>
  <si>
    <t>Instant battery Output to User</t>
  </si>
  <si>
    <t>EXCESS ENERGY BENEFIT</t>
  </si>
  <si>
    <t>Percentage Variability (%)</t>
  </si>
  <si>
    <t>LCOE ($/kWh)</t>
  </si>
  <si>
    <t>Nominal Voltage</t>
  </si>
  <si>
    <t>Connection Configuration</t>
  </si>
  <si>
    <t>Month</t>
    <phoneticPr fontId="2" type="noConversion"/>
  </si>
  <si>
    <t>Sum</t>
    <phoneticPr fontId="2" type="noConversion"/>
  </si>
  <si>
    <t>Average</t>
    <phoneticPr fontId="2" type="noConversion"/>
  </si>
  <si>
    <t>Value</t>
    <phoneticPr fontId="2" type="noConversion"/>
  </si>
  <si>
    <t>Unit</t>
    <phoneticPr fontId="2" type="noConversion"/>
  </si>
  <si>
    <t>Remark</t>
    <phoneticPr fontId="2" type="noConversion"/>
  </si>
  <si>
    <t>Nmod/s</t>
    <phoneticPr fontId="2" type="noConversion"/>
  </si>
  <si>
    <t>kW Inverter minmum norminal power</t>
    <phoneticPr fontId="2" type="noConversion"/>
  </si>
  <si>
    <t>Value</t>
    <phoneticPr fontId="3" type="noConversion"/>
  </si>
  <si>
    <t>$</t>
    <phoneticPr fontId="3" type="noConversion"/>
  </si>
  <si>
    <t>Refrigeration – back freezer</t>
    <phoneticPr fontId="3" type="noConversion"/>
  </si>
  <si>
    <t>E_Missing (Unmet) (kWh)</t>
  </si>
  <si>
    <t>Hourly Average Load  (kW) - Best Month</t>
  </si>
  <si>
    <t>Hourly Average Load (kW) - Worst Month</t>
  </si>
  <si>
    <t>Hourly Average Load (kW) - Yearly Average</t>
  </si>
  <si>
    <t>Best Month</t>
  </si>
  <si>
    <t>Worst Month</t>
  </si>
  <si>
    <t>PV Capacity</t>
  </si>
  <si>
    <t xml:space="preserve">Nmodules </t>
  </si>
  <si>
    <t>Total</t>
  </si>
  <si>
    <t>PV SIZING</t>
  </si>
  <si>
    <t>Series connection</t>
  </si>
  <si>
    <t xml:space="preserve">Battery Connections </t>
  </si>
  <si>
    <t>(%) Derating Factor</t>
  </si>
  <si>
    <t>PV- minimum series connection</t>
  </si>
  <si>
    <t>PV - maximum series connection</t>
  </si>
  <si>
    <t>PV- System Series connection</t>
  </si>
  <si>
    <t>PV- System Parallel connection</t>
  </si>
  <si>
    <t>Total PV System Panels</t>
  </si>
  <si>
    <t>Isc</t>
  </si>
  <si>
    <t>A (Short-circuit current)</t>
  </si>
  <si>
    <t>V (Open-circuit voltage)</t>
  </si>
  <si>
    <t>Degree of Discharge</t>
  </si>
  <si>
    <t>Design Margin</t>
  </si>
  <si>
    <t>Days of Autonomy</t>
  </si>
  <si>
    <t>Safety Margin</t>
  </si>
  <si>
    <t>day</t>
  </si>
  <si>
    <t>Battery Efficiency</t>
  </si>
  <si>
    <t>% (Derating Factor)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</si>
</sst>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0.0"/>
    <numFmt numFmtId="166" formatCode="0.0%"/>
    <numFmt numFmtId="167" formatCode="_-[$$-409]* #,##0.0_ ;_-[$$-409]* \-#,##0.0\ ;_-[$$-409]* &quot;-&quot;??_ ;_-@_ "/>
    <numFmt numFmtId="168" formatCode="0.000"/>
    <numFmt numFmtId="169" formatCode="_-* #,##0_-;\-* #,##0_-;_-* &quot;-&quot;??_-;_-@_-"/>
    <numFmt numFmtId="170" formatCode="[$-F400]h:mm:ss\ AM/PM"/>
    <numFmt numFmtId="171" formatCode="_-* #,##0.0_-;\-* #,##0.0_-;_-* &quot;-&quot;??_-;_-@_-"/>
    <numFmt numFmtId="172" formatCode="_-* #,##0.000_-;\-* #,##0.0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trike/>
      <sz val="11"/>
      <name val="Calibri"/>
      <family val="2"/>
    </font>
    <font>
      <b/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/>
    <xf numFmtId="0" fontId="5" fillId="0" borderId="0" xfId="0" applyFont="1"/>
    <xf numFmtId="43" fontId="4" fillId="0" borderId="0" xfId="3" applyFont="1"/>
    <xf numFmtId="1" fontId="4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9" fontId="4" fillId="0" borderId="1" xfId="3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9" fontId="4" fillId="0" borderId="1" xfId="3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9" fontId="4" fillId="0" borderId="1" xfId="2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3" fontId="5" fillId="0" borderId="0" xfId="3" applyFont="1" applyFill="1" applyAlignment="1">
      <alignment vertical="center"/>
    </xf>
    <xf numFmtId="0" fontId="5" fillId="0" borderId="0" xfId="0" applyFont="1" applyAlignment="1">
      <alignment vertical="center"/>
    </xf>
    <xf numFmtId="9" fontId="5" fillId="0" borderId="0" xfId="2" applyFont="1" applyFill="1" applyAlignment="1">
      <alignment vertical="center"/>
    </xf>
    <xf numFmtId="1" fontId="4" fillId="0" borderId="1" xfId="0" applyNumberFormat="1" applyFont="1" applyBorder="1" applyAlignment="1">
      <alignment horizontal="center"/>
    </xf>
    <xf numFmtId="171" fontId="4" fillId="0" borderId="1" xfId="3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9" fontId="4" fillId="0" borderId="1" xfId="3" applyNumberFormat="1" applyFont="1" applyFill="1" applyBorder="1" applyAlignment="1">
      <alignment horizontal="right" vertical="center"/>
    </xf>
    <xf numFmtId="170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4" fillId="0" borderId="0" xfId="3" applyFon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169" fontId="4" fillId="0" borderId="0" xfId="3" applyNumberFormat="1" applyFont="1" applyFill="1" applyBorder="1" applyAlignment="1">
      <alignment horizontal="right" vertical="center"/>
    </xf>
    <xf numFmtId="169" fontId="4" fillId="0" borderId="0" xfId="3" applyNumberFormat="1" applyFont="1" applyFill="1" applyBorder="1" applyAlignment="1">
      <alignment horizontal="center" vertical="center"/>
    </xf>
    <xf numFmtId="171" fontId="4" fillId="0" borderId="0" xfId="3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/>
    <xf numFmtId="1" fontId="10" fillId="0" borderId="0" xfId="0" applyNumberFormat="1" applyFont="1"/>
    <xf numFmtId="0" fontId="8" fillId="0" borderId="0" xfId="0" applyFont="1" applyAlignment="1">
      <alignment wrapText="1"/>
    </xf>
    <xf numFmtId="43" fontId="10" fillId="0" borderId="0" xfId="3" applyFont="1" applyFill="1"/>
    <xf numFmtId="0" fontId="8" fillId="0" borderId="1" xfId="0" applyFont="1" applyBorder="1"/>
    <xf numFmtId="43" fontId="10" fillId="0" borderId="1" xfId="3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43" fontId="10" fillId="0" borderId="1" xfId="3" applyFont="1" applyFill="1" applyBorder="1" applyAlignment="1">
      <alignment horizontal="center" vertical="center"/>
    </xf>
    <xf numFmtId="0" fontId="10" fillId="0" borderId="1" xfId="0" applyFont="1" applyBorder="1"/>
    <xf numFmtId="169" fontId="10" fillId="0" borderId="1" xfId="0" applyNumberFormat="1" applyFont="1" applyBorder="1"/>
    <xf numFmtId="43" fontId="10" fillId="0" borderId="1" xfId="0" applyNumberFormat="1" applyFont="1" applyBorder="1"/>
    <xf numFmtId="165" fontId="10" fillId="0" borderId="1" xfId="0" applyNumberFormat="1" applyFont="1" applyBorder="1"/>
    <xf numFmtId="0" fontId="11" fillId="0" borderId="1" xfId="0" applyFont="1" applyBorder="1"/>
    <xf numFmtId="167" fontId="10" fillId="0" borderId="1" xfId="0" applyNumberFormat="1" applyFont="1" applyBorder="1"/>
    <xf numFmtId="172" fontId="10" fillId="0" borderId="1" xfId="3" applyNumberFormat="1" applyFont="1" applyFill="1" applyBorder="1"/>
    <xf numFmtId="169" fontId="10" fillId="0" borderId="1" xfId="3" applyNumberFormat="1" applyFont="1" applyFill="1" applyBorder="1"/>
    <xf numFmtId="164" fontId="10" fillId="0" borderId="1" xfId="0" applyNumberFormat="1" applyFont="1" applyBorder="1"/>
    <xf numFmtId="43" fontId="10" fillId="0" borderId="0" xfId="3" applyFont="1" applyFill="1" applyBorder="1"/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166" fontId="10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2" borderId="0" xfId="0" applyFont="1" applyFill="1"/>
    <xf numFmtId="169" fontId="4" fillId="0" borderId="1" xfId="3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9" fontId="10" fillId="0" borderId="1" xfId="3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43" fontId="8" fillId="0" borderId="0" xfId="3" applyFont="1" applyFill="1" applyBorder="1"/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3" applyFont="1" applyBorder="1" applyAlignment="1">
      <alignment vertical="center" wrapText="1"/>
    </xf>
    <xf numFmtId="43" fontId="5" fillId="0" borderId="1" xfId="3" applyFont="1" applyBorder="1" applyAlignment="1">
      <alignment vertical="center" wrapText="1"/>
    </xf>
    <xf numFmtId="2" fontId="10" fillId="0" borderId="1" xfId="0" applyNumberFormat="1" applyFont="1" applyBorder="1"/>
    <xf numFmtId="0" fontId="12" fillId="0" borderId="0" xfId="0" applyFont="1"/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4">
    <cellStyle name="Comma" xfId="3" builtinId="3"/>
    <cellStyle name="Currency 2" xfId="1" xr:uid="{D63964C8-9BEB-4F81-9A88-A97846A56CF4}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5721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2000">
                <a:latin typeface="Palatino Linotype" panose="02040502050505030304" pitchFamily="18" charset="0"/>
              </a:rPr>
              <a:t>Daily Load Profile (kW)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G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'Baseline Calculation'!$B$77</c:f>
              <c:strCache>
                <c:ptCount val="1"/>
                <c:pt idx="0">
                  <c:v>Daily Load Profile (kW)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'Baseline Calculation'!$A$78:$A$101</c:f>
              <c:numCache>
                <c:formatCode>[$-F400]h:mm:ss\ am/pm</c:formatCode>
                <c:ptCount val="24"/>
                <c:pt idx="0">
                  <c:v>0</c:v>
                </c:pt>
                <c:pt idx="1">
                  <c:v>4.1666666666666664E-2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'Baseline Calculation'!$B$78:$B$101</c:f>
              <c:numCache>
                <c:formatCode>General</c:formatCode>
                <c:ptCount val="24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21</c:v>
                </c:pt>
                <c:pt idx="9">
                  <c:v>33.5</c:v>
                </c:pt>
                <c:pt idx="10">
                  <c:v>47</c:v>
                </c:pt>
                <c:pt idx="11">
                  <c:v>47</c:v>
                </c:pt>
                <c:pt idx="12">
                  <c:v>47</c:v>
                </c:pt>
                <c:pt idx="13">
                  <c:v>45</c:v>
                </c:pt>
                <c:pt idx="14">
                  <c:v>33.5</c:v>
                </c:pt>
                <c:pt idx="15">
                  <c:v>33.5</c:v>
                </c:pt>
                <c:pt idx="16">
                  <c:v>33.5</c:v>
                </c:pt>
                <c:pt idx="17">
                  <c:v>33.5</c:v>
                </c:pt>
                <c:pt idx="18">
                  <c:v>33.5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9</c:v>
                </c:pt>
                <c:pt idx="2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06-42B3-BEBC-22C2B481D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overlap val="-29"/>
        <c:axId val="2135181071"/>
        <c:axId val="2135181551"/>
      </c:barChart>
      <c:catAx>
        <c:axId val="21351810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latin typeface="Palatino Linotype" panose="02040502050505030304" pitchFamily="18" charset="0"/>
                  </a:rPr>
                  <a:t>Hours</a:t>
                </a:r>
                <a:endParaRPr lang="en-US">
                  <a:latin typeface="Palatino Linotype" panose="0204050205050503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GH"/>
            </a:p>
          </c:txPr>
        </c:title>
        <c:numFmt formatCode="[$]hh:mm;@" c16r2:formatcode2="[$-en-GH,1]h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GH"/>
          </a:p>
        </c:txPr>
        <c:crossAx val="2135181551"/>
        <c:crosses val="autoZero"/>
        <c:auto val="0"/>
        <c:lblAlgn val="ctr"/>
        <c:lblOffset val="100"/>
        <c:noMultiLvlLbl val="0"/>
      </c:catAx>
      <c:valAx>
        <c:axId val="213518155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latin typeface="Palatino Linotype" panose="02040502050505030304" pitchFamily="18" charset="0"/>
                  </a:rPr>
                  <a:t>Power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GH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dk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GH"/>
          </a:p>
        </c:txPr>
        <c:crossAx val="2135181071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G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PVsyst Simulation Results</a:t>
            </a:r>
          </a:p>
        </c:rich>
      </c:tx>
      <c:layout>
        <c:manualLayout>
          <c:xMode val="edge"/>
          <c:yMode val="edge"/>
          <c:x val="0.34087326790071204"/>
          <c:y val="5.51929806157696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GH"/>
        </a:p>
      </c:txPr>
    </c:title>
    <c:autoTitleDeleted val="0"/>
    <c:plotArea>
      <c:layout>
        <c:manualLayout>
          <c:layoutTarget val="inner"/>
          <c:xMode val="edge"/>
          <c:yMode val="edge"/>
          <c:x val="8.1790597327663056E-2"/>
          <c:y val="8.0105950141991178E-2"/>
          <c:w val="0.82809219865402617"/>
          <c:h val="0.78462673929821147"/>
        </c:manualLayout>
      </c:layout>
      <c:areaChart>
        <c:grouping val="stacked"/>
        <c:varyColors val="0"/>
        <c:ser>
          <c:idx val="5"/>
          <c:order val="5"/>
          <c:tx>
            <c:strRef>
              <c:f>'Baseline Calculation'!$I$60</c:f>
              <c:strCache>
                <c:ptCount val="1"/>
                <c:pt idx="0">
                  <c:v>Instant battery Output to User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'Baseline Calculation'!$A$43:$A$54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'Baseline Calculation'!$I$62:$I$73</c:f>
              <c:numCache>
                <c:formatCode>_-* #,##0_-;\-* #,##0_-;_-* "-"??_-;_-@_-</c:formatCode>
                <c:ptCount val="12"/>
                <c:pt idx="0">
                  <c:v>10172.455363461733</c:v>
                </c:pt>
                <c:pt idx="1">
                  <c:v>9513.3955332672467</c:v>
                </c:pt>
                <c:pt idx="2">
                  <c:v>10084.496847140683</c:v>
                </c:pt>
                <c:pt idx="3">
                  <c:v>8625.9202560201466</c:v>
                </c:pt>
                <c:pt idx="4">
                  <c:v>8691.4036102630034</c:v>
                </c:pt>
                <c:pt idx="5">
                  <c:v>8024.7399226946436</c:v>
                </c:pt>
                <c:pt idx="6">
                  <c:v>8158.6791175308917</c:v>
                </c:pt>
                <c:pt idx="7">
                  <c:v>7132.0500152485511</c:v>
                </c:pt>
                <c:pt idx="8">
                  <c:v>7593.4036325163106</c:v>
                </c:pt>
                <c:pt idx="9">
                  <c:v>8348.3582453720901</c:v>
                </c:pt>
                <c:pt idx="10">
                  <c:v>8966.9501213860076</c:v>
                </c:pt>
                <c:pt idx="11">
                  <c:v>10521.535238881437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36-49EE-A806-A6CFB4056148}"/>
            </c:ext>
          </c:extLst>
        </c:ser>
        <c:ser>
          <c:idx val="6"/>
          <c:order val="6"/>
          <c:tx>
            <c:strRef>
              <c:f>'Baseline Calculation'!$J$60</c:f>
              <c:strCache>
                <c:ptCount val="1"/>
                <c:pt idx="0">
                  <c:v>Instant PV Output to User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cat>
            <c:strRef>
              <c:f>'Baseline Calculation'!$A$43:$A$54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'Baseline Calculation'!$J$62:$J$73</c:f>
              <c:numCache>
                <c:formatCode>_-* #,##0_-;\-* #,##0_-;_-* "-"??_-;_-@_-</c:formatCode>
                <c:ptCount val="12"/>
                <c:pt idx="0">
                  <c:v>7218.5446365382668</c:v>
                </c:pt>
                <c:pt idx="1">
                  <c:v>6194.6044667327533</c:v>
                </c:pt>
                <c:pt idx="2">
                  <c:v>7306.5031528593172</c:v>
                </c:pt>
                <c:pt idx="3">
                  <c:v>8204.0797439798534</c:v>
                </c:pt>
                <c:pt idx="4">
                  <c:v>8699.5963897369966</c:v>
                </c:pt>
                <c:pt idx="5">
                  <c:v>8805.2600773053564</c:v>
                </c:pt>
                <c:pt idx="6">
                  <c:v>9232.3208824691083</c:v>
                </c:pt>
                <c:pt idx="7">
                  <c:v>9333.9499847514489</c:v>
                </c:pt>
                <c:pt idx="8">
                  <c:v>7863.5963674836894</c:v>
                </c:pt>
                <c:pt idx="9">
                  <c:v>9042.6417546279099</c:v>
                </c:pt>
                <c:pt idx="10">
                  <c:v>7863.0498786139924</c:v>
                </c:pt>
                <c:pt idx="11">
                  <c:v>6869.4647611185628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36-49EE-A806-A6CFB4056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771824"/>
        <c:axId val="461753584"/>
      </c:areaChart>
      <c:barChart>
        <c:barDir val="col"/>
        <c:grouping val="stacked"/>
        <c:varyColors val="0"/>
        <c:ser>
          <c:idx val="0"/>
          <c:order val="0"/>
          <c:tx>
            <c:strRef>
              <c:f>'Baseline Calculation'!$C$42</c:f>
              <c:strCache>
                <c:ptCount val="1"/>
                <c:pt idx="0">
                  <c:v>E_User 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'Baseline Calculation'!$A$43:$A$54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'Baseline Calculation'!$C$43:$C$54</c:f>
              <c:numCache>
                <c:formatCode>_-* #,##0_-;\-* #,##0_-;_-* "-"??_-;_-@_-</c:formatCode>
                <c:ptCount val="12"/>
                <c:pt idx="0">
                  <c:v>17391</c:v>
                </c:pt>
                <c:pt idx="1">
                  <c:v>15708</c:v>
                </c:pt>
                <c:pt idx="2">
                  <c:v>17391</c:v>
                </c:pt>
                <c:pt idx="3">
                  <c:v>16830</c:v>
                </c:pt>
                <c:pt idx="4">
                  <c:v>17391</c:v>
                </c:pt>
                <c:pt idx="5">
                  <c:v>16830</c:v>
                </c:pt>
                <c:pt idx="6">
                  <c:v>17391</c:v>
                </c:pt>
                <c:pt idx="7">
                  <c:v>16466</c:v>
                </c:pt>
                <c:pt idx="8">
                  <c:v>15457</c:v>
                </c:pt>
                <c:pt idx="9">
                  <c:v>17391</c:v>
                </c:pt>
                <c:pt idx="10">
                  <c:v>16830</c:v>
                </c:pt>
                <c:pt idx="11">
                  <c:v>17391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9-404F-A3C9-D3E4CE899886}"/>
            </c:ext>
          </c:extLst>
        </c:ser>
        <c:ser>
          <c:idx val="1"/>
          <c:order val="1"/>
          <c:tx>
            <c:strRef>
              <c:f>'Baseline Calculation'!$D$42</c:f>
              <c:strCache>
                <c:ptCount val="1"/>
                <c:pt idx="0">
                  <c:v>E_Unused (kWh)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'Baseline Calculation'!$A$43:$A$54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'Baseline Calculation'!$D$43:$D$54</c:f>
              <c:numCache>
                <c:formatCode>_-* #,##0_-;\-* #,##0_-;_-* "-"??_-;_-@_-</c:formatCode>
                <c:ptCount val="12"/>
                <c:pt idx="0">
                  <c:v>14884</c:v>
                </c:pt>
                <c:pt idx="1">
                  <c:v>13820</c:v>
                </c:pt>
                <c:pt idx="2">
                  <c:v>12434</c:v>
                </c:pt>
                <c:pt idx="3">
                  <c:v>9047</c:v>
                </c:pt>
                <c:pt idx="4">
                  <c:v>7697</c:v>
                </c:pt>
                <c:pt idx="5">
                  <c:v>3210</c:v>
                </c:pt>
                <c:pt idx="6">
                  <c:v>2549</c:v>
                </c:pt>
                <c:pt idx="7">
                  <c:v>2049</c:v>
                </c:pt>
                <c:pt idx="8">
                  <c:v>4226</c:v>
                </c:pt>
                <c:pt idx="9">
                  <c:v>4887</c:v>
                </c:pt>
                <c:pt idx="10">
                  <c:v>8688</c:v>
                </c:pt>
                <c:pt idx="11">
                  <c:v>13890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9-404F-A3C9-D3E4CE899886}"/>
            </c:ext>
          </c:extLst>
        </c:ser>
        <c:ser>
          <c:idx val="2"/>
          <c:order val="2"/>
          <c:tx>
            <c:strRef>
              <c:f>'Baseline Calculation'!$E$42</c:f>
              <c:strCache>
                <c:ptCount val="1"/>
                <c:pt idx="0">
                  <c:v>E_Losses (kWh)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'Baseline Calculation'!$A$43:$A$54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'Baseline Calculation'!$E$43:$E$54</c:f>
              <c:numCache>
                <c:formatCode>_-* #,##0_-;\-* #,##0_-;_-* "-"??_-;_-@_-</c:formatCode>
                <c:ptCount val="12"/>
                <c:pt idx="0">
                  <c:v>1577</c:v>
                </c:pt>
                <c:pt idx="1">
                  <c:v>705</c:v>
                </c:pt>
                <c:pt idx="2">
                  <c:v>170</c:v>
                </c:pt>
                <c:pt idx="3">
                  <c:v>1372</c:v>
                </c:pt>
                <c:pt idx="4">
                  <c:v>428</c:v>
                </c:pt>
                <c:pt idx="5">
                  <c:v>331</c:v>
                </c:pt>
                <c:pt idx="6">
                  <c:v>666</c:v>
                </c:pt>
                <c:pt idx="7">
                  <c:v>2199</c:v>
                </c:pt>
                <c:pt idx="8">
                  <c:v>635</c:v>
                </c:pt>
                <c:pt idx="9">
                  <c:v>466</c:v>
                </c:pt>
                <c:pt idx="10">
                  <c:v>437</c:v>
                </c:pt>
                <c:pt idx="11">
                  <c:v>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9-404F-A3C9-D3E4CE899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771824"/>
        <c:axId val="461753584"/>
      </c:barChart>
      <c:scatterChart>
        <c:scatterStyle val="lineMarker"/>
        <c:varyColors val="0"/>
        <c:ser>
          <c:idx val="3"/>
          <c:order val="3"/>
          <c:tx>
            <c:strRef>
              <c:f>'Baseline Calculation'!$G$42</c:f>
              <c:strCache>
                <c:ptCount val="1"/>
                <c:pt idx="0">
                  <c:v>E_Load (KWh)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'Baseline Calculation'!$A$43:$A$54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xVal>
          <c:yVal>
            <c:numRef>
              <c:f>'Baseline Calculation'!$G$43:$G$54</c:f>
              <c:numCache>
                <c:formatCode>_-* #,##0_-;\-* #,##0_-;_-* "-"??_-;_-@_-</c:formatCode>
                <c:ptCount val="12"/>
                <c:pt idx="0">
                  <c:v>17391</c:v>
                </c:pt>
                <c:pt idx="1">
                  <c:v>15708</c:v>
                </c:pt>
                <c:pt idx="2">
                  <c:v>17391</c:v>
                </c:pt>
                <c:pt idx="3">
                  <c:v>16830</c:v>
                </c:pt>
                <c:pt idx="4">
                  <c:v>17391</c:v>
                </c:pt>
                <c:pt idx="5">
                  <c:v>16830</c:v>
                </c:pt>
                <c:pt idx="6">
                  <c:v>17391</c:v>
                </c:pt>
                <c:pt idx="7">
                  <c:v>17391</c:v>
                </c:pt>
                <c:pt idx="8">
                  <c:v>16830</c:v>
                </c:pt>
                <c:pt idx="9">
                  <c:v>17391</c:v>
                </c:pt>
                <c:pt idx="10">
                  <c:v>16830</c:v>
                </c:pt>
                <c:pt idx="11">
                  <c:v>17391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D9-404F-A3C9-D3E4CE899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771824"/>
        <c:axId val="461753584"/>
      </c:scatterChart>
      <c:scatterChart>
        <c:scatterStyle val="lineMarker"/>
        <c:varyColors val="0"/>
        <c:ser>
          <c:idx val="4"/>
          <c:order val="4"/>
          <c:tx>
            <c:strRef>
              <c:f>'Baseline Calculation'!$I$42</c:f>
              <c:strCache>
                <c:ptCount val="1"/>
                <c:pt idx="0">
                  <c:v>Performance Ratio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square"/>
            <c:size val="9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strRef>
              <c:f>'Baseline Calculation'!$A$43:$A$54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xVal>
          <c:yVal>
            <c:numRef>
              <c:f>'Baseline Calculation'!$I$43:$I$54</c:f>
              <c:numCache>
                <c:formatCode>0%</c:formatCode>
                <c:ptCount val="12"/>
                <c:pt idx="0">
                  <c:v>0.44</c:v>
                </c:pt>
                <c:pt idx="1">
                  <c:v>0.45</c:v>
                </c:pt>
                <c:pt idx="2">
                  <c:v>0.5</c:v>
                </c:pt>
                <c:pt idx="3">
                  <c:v>0.52</c:v>
                </c:pt>
                <c:pt idx="4">
                  <c:v>0.56999999999999995</c:v>
                </c:pt>
                <c:pt idx="5">
                  <c:v>0.7</c:v>
                </c:pt>
                <c:pt idx="6">
                  <c:v>0.755</c:v>
                </c:pt>
                <c:pt idx="7">
                  <c:v>0.66</c:v>
                </c:pt>
                <c:pt idx="8">
                  <c:v>0.63</c:v>
                </c:pt>
                <c:pt idx="9">
                  <c:v>0.63</c:v>
                </c:pt>
                <c:pt idx="10">
                  <c:v>0.51500000000000001</c:v>
                </c:pt>
                <c:pt idx="11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AD9-404F-A3C9-D3E4CE899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25408"/>
        <c:axId val="139831168"/>
      </c:scatterChart>
      <c:catAx>
        <c:axId val="46177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GH"/>
          </a:p>
        </c:txPr>
        <c:crossAx val="461753584"/>
        <c:crosses val="autoZero"/>
        <c:auto val="1"/>
        <c:lblAlgn val="ctr"/>
        <c:lblOffset val="100"/>
        <c:noMultiLvlLbl val="0"/>
      </c:catAx>
      <c:valAx>
        <c:axId val="461753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Energy (kWh)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GH"/>
            </a:p>
          </c:txPr>
        </c:title>
        <c:numFmt formatCode="_-* #,##0_-;\-* #,##0_-;_-* &quot;-&quot;??_-;_-@_-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GH"/>
          </a:p>
        </c:txPr>
        <c:crossAx val="461771824"/>
        <c:crosses val="autoZero"/>
        <c:crossBetween val="between"/>
        <c:majorUnit val="5000"/>
      </c:valAx>
      <c:valAx>
        <c:axId val="139831168"/>
        <c:scaling>
          <c:orientation val="minMax"/>
          <c:max val="1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Performance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 Ratio</a:t>
                </a:r>
                <a:endParaRPr lang="en-US" sz="1400" b="1">
                  <a:solidFill>
                    <a:sysClr val="windowText" lastClr="000000"/>
                  </a:solidFill>
                  <a:latin typeface="Palatino Linotype" panose="0204050205050503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GH"/>
            </a:p>
          </c:txPr>
        </c:title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GH"/>
          </a:p>
        </c:txPr>
        <c:crossAx val="139825408"/>
        <c:crosses val="max"/>
        <c:crossBetween val="midCat"/>
        <c:majorUnit val="0.2"/>
      </c:valAx>
      <c:valAx>
        <c:axId val="1398254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3983116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661453496178134E-2"/>
          <c:y val="0.92783236799316648"/>
          <c:w val="0.79760063858401808"/>
          <c:h val="6.96698185286688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G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G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 sz="1400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Design Comparison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GH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'Sensitivity Analysis'!$F$13</c:f>
              <c:strCache>
                <c:ptCount val="1"/>
                <c:pt idx="0">
                  <c:v>User Energy Need (kWh/year)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n-GH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'Sensitivity Analysis'!$B$14:$B$15</c:f>
              <c:strCache>
                <c:ptCount val="2"/>
                <c:pt idx="0">
                  <c:v>Baseline </c:v>
                </c:pt>
                <c:pt idx="1">
                  <c:v>Optimized </c:v>
                </c:pt>
              </c:strCache>
            </c:strRef>
          </c:cat>
          <c:val>
            <c:numRef>
              <c:f>'Sensitivity Analysis'!$F$14:$F$15</c:f>
              <c:numCache>
                <c:formatCode>_-* #,##0_-;\-* #,##0_-;_-* "-"??_-;_-@_-</c:formatCode>
                <c:ptCount val="2"/>
                <c:pt idx="0">
                  <c:v>204765</c:v>
                </c:pt>
                <c:pt idx="1">
                  <c:v>204765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F9-429F-969C-529A7A613C3F}"/>
            </c:ext>
          </c:extLst>
        </c:ser>
        <c:ser>
          <c:idx val="1"/>
          <c:order val="1"/>
          <c:tx>
            <c:strRef>
              <c:f>'Sensitivity Analysis'!$G$13</c:f>
              <c:strCache>
                <c:ptCount val="1"/>
                <c:pt idx="0">
                  <c:v>Availabe Energy (kWh/year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n-GH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'Sensitivity Analysis'!$B$14:$B$15</c:f>
              <c:strCache>
                <c:ptCount val="2"/>
                <c:pt idx="0">
                  <c:v>Baseline </c:v>
                </c:pt>
                <c:pt idx="1">
                  <c:v>Optimized </c:v>
                </c:pt>
              </c:strCache>
            </c:strRef>
          </c:cat>
          <c:val>
            <c:numRef>
              <c:f>'Sensitivity Analysis'!$G$14:$G$15</c:f>
              <c:numCache>
                <c:formatCode>_-* #,##0_-;\-* #,##0_-;_-* "-"??_-;_-@_-</c:formatCode>
                <c:ptCount val="2"/>
                <c:pt idx="0">
                  <c:v>308736</c:v>
                </c:pt>
                <c:pt idx="1">
                  <c:v>241630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F9-429F-969C-529A7A613C3F}"/>
            </c:ext>
          </c:extLst>
        </c:ser>
        <c:ser>
          <c:idx val="2"/>
          <c:order val="2"/>
          <c:tx>
            <c:strRef>
              <c:f>'Sensitivity Analysis'!$H$13</c:f>
              <c:strCache>
                <c:ptCount val="1"/>
                <c:pt idx="0">
                  <c:v>Useful Energy (kWh/year)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n-GH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'Sensitivity Analysis'!$B$14:$B$15</c:f>
              <c:strCache>
                <c:ptCount val="2"/>
                <c:pt idx="0">
                  <c:v>Baseline </c:v>
                </c:pt>
                <c:pt idx="1">
                  <c:v>Optimized </c:v>
                </c:pt>
              </c:strCache>
            </c:strRef>
          </c:cat>
          <c:val>
            <c:numRef>
              <c:f>'Sensitivity Analysis'!$H$14:$H$15</c:f>
              <c:numCache>
                <c:formatCode>_-* #,##0_-;\-* #,##0_-;_-* "-"??_-;_-@_-</c:formatCode>
                <c:ptCount val="2"/>
                <c:pt idx="0">
                  <c:v>202467</c:v>
                </c:pt>
                <c:pt idx="1">
                  <c:v>196780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F9-429F-969C-529A7A613C3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10"/>
        <c:axId val="761750031"/>
        <c:axId val="540704703"/>
      </c:barChart>
      <c:catAx>
        <c:axId val="7617500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GH"/>
          </a:p>
        </c:txPr>
        <c:crossAx val="540704703"/>
        <c:crosses val="autoZero"/>
        <c:auto val="1"/>
        <c:lblAlgn val="ctr"/>
        <c:lblOffset val="100"/>
        <c:noMultiLvlLbl val="0"/>
      </c:catAx>
      <c:valAx>
        <c:axId val="540704703"/>
        <c:scaling>
          <c:orientation val="minMax"/>
          <c:max val="320000"/>
          <c:min val="0"/>
        </c:scaling>
        <c:delete val="0"/>
        <c:axPos val="b"/>
        <c:numFmt formatCode="_-* #,##0_-;\-* #,##0_-;_-* &quot;-&quot;??_-;_-@_-" sourceLinked="1"/>
        <c:majorTickMark val="in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GH"/>
          </a:p>
        </c:txPr>
        <c:crossAx val="761750031"/>
        <c:crosses val="autoZero"/>
        <c:crossBetween val="between"/>
        <c:majorUnit val="4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2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G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/>
      </a:solidFill>
      <a:round/>
    </a:ln>
    <a:effectLst/>
  </c:spPr>
  <c:txPr>
    <a:bodyPr/>
    <a:lstStyle/>
    <a:p>
      <a:pPr>
        <a:defRPr/>
      </a:pPr>
      <a:endParaRPr lang="en-GH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 b="1">
                <a:latin typeface="Palatino Linotype" panose="02040502050505030304" pitchFamily="18" charset="0"/>
              </a:rPr>
              <a:t>Excess Energy Comparison at different </a:t>
            </a:r>
          </a:p>
          <a:p>
            <a:pPr>
              <a:defRPr/>
            </a:pPr>
            <a:r>
              <a:rPr lang="en-US" sz="1050" b="1">
                <a:latin typeface="Palatino Linotype" panose="02040502050505030304" pitchFamily="18" charset="0"/>
              </a:rPr>
              <a:t>peak sunshine hour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H"/>
        </a:p>
      </c:txPr>
    </c:title>
    <c:autoTitleDeleted val="0"/>
    <c:plotArea>
      <c:layout>
        <c:manualLayout>
          <c:layoutTarget val="inner"/>
          <c:xMode val="edge"/>
          <c:yMode val="edge"/>
          <c:x val="0.13703800273540426"/>
          <c:y val="0.22764609797081875"/>
          <c:w val="0.7966221646082311"/>
          <c:h val="0.67477185439425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'Sensitivity Analysis'!$B$14</c:f>
              <c:strCache>
                <c:ptCount val="1"/>
                <c:pt idx="0">
                  <c:v>Baseline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H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'Sensitivity Analysis'!$I$13</c:f>
              <c:strCache>
                <c:ptCount val="1"/>
                <c:pt idx="0">
                  <c:v>Excess Energy (kWh/year)</c:v>
                </c:pt>
              </c:strCache>
            </c:strRef>
          </c:cat>
          <c:val>
            <c:numRef>
              <c:f>'Sensitivity Analysis'!$I$14</c:f>
              <c:numCache>
                <c:formatCode>_-* #,##0_-;\-* #,##0_-;_-* "-"??_-;_-@_-</c:formatCode>
                <c:ptCount val="1"/>
                <c:pt idx="0">
                  <c:v>97355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E7-43A2-B8A6-5F85DDD92A01}"/>
            </c:ext>
          </c:extLst>
        </c:ser>
        <c:ser>
          <c:idx val="1"/>
          <c:order val="1"/>
          <c:tx>
            <c:strRef>
              <c:f>'Sensitivity Analysis'!$B$15</c:f>
              <c:strCache>
                <c:ptCount val="1"/>
                <c:pt idx="0">
                  <c:v>Optimized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H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'Sensitivity Analysis'!$I$13</c:f>
              <c:strCache>
                <c:ptCount val="1"/>
                <c:pt idx="0">
                  <c:v>Excess Energy (kWh/year)</c:v>
                </c:pt>
              </c:strCache>
            </c:strRef>
          </c:cat>
          <c:val>
            <c:numRef>
              <c:f>'Sensitivity Analysis'!$I$15</c:f>
              <c:numCache>
                <c:formatCode>_-* #,##0_-;\-* #,##0_-;_-* "-"??_-;_-@_-</c:formatCode>
                <c:ptCount val="1"/>
                <c:pt idx="0">
                  <c:v>37436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E7-43A2-B8A6-5F85DDD92A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-18"/>
        <c:axId val="714826479"/>
        <c:axId val="569255903"/>
      </c:barChart>
      <c:catAx>
        <c:axId val="71482647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69255903"/>
        <c:crosses val="autoZero"/>
        <c:auto val="1"/>
        <c:lblAlgn val="ctr"/>
        <c:lblOffset val="100"/>
        <c:noMultiLvlLbl val="0"/>
      </c:catAx>
      <c:valAx>
        <c:axId val="569255903"/>
        <c:scaling>
          <c:orientation val="minMax"/>
          <c:max val="10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Palatino Linotype" panose="02040502050505030304" pitchFamily="18" charset="0"/>
                  </a:rPr>
                  <a:t>Energy (kWh/year)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H"/>
            </a:p>
          </c:txPr>
        </c:title>
        <c:numFmt formatCode="_-* #,##0_-;\-* #,##0_-;_-* &quot;-&quot;??_-;_-@_-" sourceLinked="1"/>
        <c:majorTickMark val="in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H"/>
          </a:p>
        </c:txPr>
        <c:crossAx val="714826479"/>
        <c:crosses val="autoZero"/>
        <c:crossBetween val="between"/>
        <c:minorUnit val="4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573458892478534"/>
          <c:y val="0.89065568962503661"/>
          <c:w val="0.38723811140221104"/>
          <c:h val="6.90647098381587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G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GH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Missing  Energy Comparison at different</a:t>
            </a:r>
          </a:p>
          <a:p>
            <a:pPr>
              <a:defRPr b="1">
                <a:solidFill>
                  <a:sysClr val="windowText" lastClr="000000"/>
                </a:solidFill>
                <a:latin typeface="Palatino Linotype" panose="02040502050505030304" pitchFamily="18" charset="0"/>
              </a:defRPr>
            </a:pP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peak sunshine hour</a:t>
            </a:r>
            <a:endParaRPr lang="en-GH" sz="1600" b="1">
              <a:solidFill>
                <a:sysClr val="windowText" lastClr="000000"/>
              </a:solidFill>
              <a:latin typeface="Palatino Linotype" panose="0204050205050503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G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'Sensitivity Analysis'!$B$14</c:f>
              <c:strCache>
                <c:ptCount val="1"/>
                <c:pt idx="0">
                  <c:v>Baseline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n-GH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'Sensitivity Analysis'!$J$13</c:f>
              <c:strCache>
                <c:ptCount val="1"/>
                <c:pt idx="0">
                  <c:v>Missing Energy</c:v>
                </c:pt>
              </c:strCache>
            </c:strRef>
          </c:cat>
          <c:val>
            <c:numRef>
              <c:f>'Sensitivity Analysis'!$J$14</c:f>
              <c:numCache>
                <c:formatCode>General</c:formatCode>
                <c:ptCount val="1"/>
                <c:pt idx="0">
                  <c:v>2299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0-4304-AE33-7B5EC6100C26}"/>
            </c:ext>
          </c:extLst>
        </c:ser>
        <c:ser>
          <c:idx val="1"/>
          <c:order val="1"/>
          <c:tx>
            <c:strRef>
              <c:f>'Sensitivity Analysis'!$B$15</c:f>
              <c:strCache>
                <c:ptCount val="1"/>
                <c:pt idx="0">
                  <c:v>Optimized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n-GH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'Sensitivity Analysis'!$J$13</c:f>
              <c:strCache>
                <c:ptCount val="1"/>
                <c:pt idx="0">
                  <c:v>Missing Energy</c:v>
                </c:pt>
              </c:strCache>
            </c:strRef>
          </c:cat>
          <c:val>
            <c:numRef>
              <c:f>'Sensitivity Analysis'!$J$15</c:f>
              <c:numCache>
                <c:formatCode>General</c:formatCode>
                <c:ptCount val="1"/>
                <c:pt idx="0">
                  <c:v>7987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0-4304-AE33-7B5EC6100C2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46"/>
        <c:overlap val="-19"/>
        <c:axId val="1145410303"/>
        <c:axId val="648318463"/>
      </c:barChart>
      <c:catAx>
        <c:axId val="11454103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48318463"/>
        <c:crosses val="autoZero"/>
        <c:auto val="1"/>
        <c:lblAlgn val="ctr"/>
        <c:lblOffset val="100"/>
        <c:noMultiLvlLbl val="0"/>
      </c:catAx>
      <c:valAx>
        <c:axId val="648318463"/>
        <c:scaling>
          <c:orientation val="minMax"/>
          <c:max val="8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Energy (kWh/year)</a:t>
                </a:r>
              </a:p>
            </c:rich>
          </c:tx>
          <c:layout>
            <c:manualLayout>
              <c:xMode val="edge"/>
              <c:yMode val="edge"/>
              <c:x val="1.8421106682445766E-2"/>
              <c:y val="0.392390735704176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GH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GH"/>
          </a:p>
        </c:txPr>
        <c:crossAx val="1145410303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800162095657918"/>
          <c:y val="0.91672054495389532"/>
          <c:w val="0.38493321660153151"/>
          <c:h val="5.980248581931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G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GH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n-US" sz="14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Performan ratio of the system at different peak sunshine hour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G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'Sensitivity Analysis'!$B$14</c:f>
              <c:strCache>
                <c:ptCount val="1"/>
                <c:pt idx="0">
                  <c:v>Baseline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AA-4AB6-8F4F-101C16544575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n-GH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'Sensitivity Analysis'!$K$13</c:f>
              <c:strCache>
                <c:ptCount val="1"/>
                <c:pt idx="0">
                  <c:v>Performance Ratio (%)</c:v>
                </c:pt>
              </c:strCache>
            </c:strRef>
          </c:cat>
          <c:val>
            <c:numRef>
              <c:f>'Sensitivity Analysis'!$K$14</c:f>
              <c:numCache>
                <c:formatCode>0</c:formatCode>
                <c:ptCount val="1"/>
                <c:pt idx="0">
                  <c:v>56.4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AA-4AB6-8F4F-101C16544575}"/>
            </c:ext>
          </c:extLst>
        </c:ser>
        <c:ser>
          <c:idx val="1"/>
          <c:order val="1"/>
          <c:tx>
            <c:strRef>
              <c:f>'Sensitivity Analysis'!$B$15</c:f>
              <c:strCache>
                <c:ptCount val="1"/>
                <c:pt idx="0">
                  <c:v>Optimized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Palatino Linotype" panose="02040502050505030304" pitchFamily="18" charset="0"/>
                      <a:ea typeface="+mn-ea"/>
                      <a:cs typeface="+mn-cs"/>
                    </a:defRPr>
                  </a:pPr>
                  <a:endParaRPr lang="en-GH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F0B-435E-B427-8AD47D4354AA}"/>
                </c:ext>
              </c:extLst>
            </c:dLbl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endParaRPr lang="en-GH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'Sensitivity Analysis'!$K$13</c:f>
              <c:strCache>
                <c:ptCount val="1"/>
                <c:pt idx="0">
                  <c:v>Performance Ratio (%)</c:v>
                </c:pt>
              </c:strCache>
            </c:strRef>
          </c:cat>
          <c:val>
            <c:numRef>
              <c:f>'Sensitivity Analysis'!$K$15</c:f>
              <c:numCache>
                <c:formatCode>0</c:formatCode>
                <c:ptCount val="1"/>
                <c:pt idx="0">
                  <c:v>69.599999999999994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AA-4AB6-8F4F-101C165445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26"/>
        <c:overlap val="-18"/>
        <c:axId val="1544089631"/>
        <c:axId val="865453503"/>
      </c:barChart>
      <c:catAx>
        <c:axId val="154408963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65453503"/>
        <c:crosses val="autoZero"/>
        <c:auto val="1"/>
        <c:lblAlgn val="ctr"/>
        <c:lblOffset val="100"/>
        <c:noMultiLvlLbl val="0"/>
      </c:catAx>
      <c:valAx>
        <c:axId val="865453503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Performance Ration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GH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GH"/>
          </a:p>
        </c:txPr>
        <c:crossAx val="1544089631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178028183675326"/>
          <c:y val="0.92612753689935279"/>
          <c:w val="0.49677852523649046"/>
          <c:h val="5.51712005399719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G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en-G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505246</xdr:colOff>
      <xdr:row>75</xdr:row>
      <xdr:rowOff>95250</xdr:rowOff>
    </xdr:from>
    <xdr:to>
      <xdr:col>15</xdr:col>
      <xdr:colOff>523874</xdr:colOff>
      <xdr:row>105</xdr:row>
      <xdr:rowOff>38074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773FA5-5737-E6EC-CDB5-D164DD27AA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292707</xdr:colOff>
      <xdr:row>32</xdr:row>
      <xdr:rowOff>95250</xdr:rowOff>
    </xdr:from>
    <xdr:to>
      <xdr:col>27</xdr:col>
      <xdr:colOff>444499</xdr:colOff>
      <xdr:row>73</xdr:row>
      <xdr:rowOff>93099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06ADFB-7C34-61AB-D5AA-6EBF030957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31748</xdr:rowOff>
    </xdr:from>
    <xdr:to>
      <xdr:col>7</xdr:col>
      <xdr:colOff>249116</xdr:colOff>
      <xdr:row>44</xdr:row>
      <xdr:rowOff>161191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599FC5-FD83-6E82-F2F8-E80983615D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745100</xdr:colOff>
      <xdr:row>19</xdr:row>
      <xdr:rowOff>34634</xdr:rowOff>
    </xdr:from>
    <xdr:to>
      <xdr:col>11</xdr:col>
      <xdr:colOff>428831</xdr:colOff>
      <xdr:row>44</xdr:row>
      <xdr:rowOff>82467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A6C090-C74B-287B-2B6A-A8044A92F0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618507</xdr:colOff>
      <xdr:row>45</xdr:row>
      <xdr:rowOff>153866</xdr:rowOff>
    </xdr:from>
    <xdr:to>
      <xdr:col>12</xdr:col>
      <xdr:colOff>581138</xdr:colOff>
      <xdr:row>69</xdr:row>
      <xdr:rowOff>82468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BC0DEF-D3A1-5916-85E0-5FAA1AC2A2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733961</xdr:colOff>
      <xdr:row>17</xdr:row>
      <xdr:rowOff>82934</xdr:rowOff>
    </xdr:from>
    <xdr:to>
      <xdr:col>20</xdr:col>
      <xdr:colOff>230910</xdr:colOff>
      <xdr:row>44</xdr:row>
      <xdr:rowOff>24739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3812A44-3C22-60AD-E69E-CC136DD855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32988</xdr:colOff>
      <xdr:row>50</xdr:row>
      <xdr:rowOff>164933</xdr:rowOff>
    </xdr:from>
    <xdr:to>
      <xdr:col>6</xdr:col>
      <xdr:colOff>1165745</xdr:colOff>
      <xdr:row>87</xdr:row>
      <xdr:rowOff>56415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BD65B6D-318B-EDD0-926E-5783D28CD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2209" y="9384803"/>
          <a:ext cx="7068053" cy="66043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524952</xdr:colOff>
      <xdr:row>1</xdr:row>
      <xdr:rowOff>82177</xdr:rowOff>
    </xdr:from>
    <xdr:to>
      <xdr:col>13</xdr:col>
      <xdr:colOff>351117</xdr:colOff>
      <xdr:row>24</xdr:row>
      <xdr:rowOff>164355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4410DB3-78BE-03C4-49DC-0055C1747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3187" y="268942"/>
          <a:ext cx="5952048" cy="4557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47362-72A0-4F40-86D6-2ACFB77916A8}">
  <dimension ref="A1:T120"/>
  <sheetViews>
    <sheetView zoomScale="68" zoomScaleNormal="86" workbookViewId="0">
      <selection activeCell="F99" sqref="F99"/>
    </sheetView>
  </sheetViews>
  <sheetFormatPr defaultColWidth="8.6328125" defaultRowHeight="14.5"/>
  <cols>
    <col min="1" max="1" width="24.1796875" style="1" customWidth="1"/>
    <col min="2" max="2" width="21.81640625" style="1" customWidth="1"/>
    <col min="3" max="3" width="32.26953125" style="1" customWidth="1"/>
    <col min="4" max="4" width="18.453125" style="1" customWidth="1"/>
    <col min="5" max="5" width="22.36328125" style="1" customWidth="1"/>
    <col min="6" max="6" width="16.36328125" style="1" customWidth="1"/>
    <col min="7" max="7" width="14" style="1" customWidth="1"/>
    <col min="8" max="8" width="16" style="1" customWidth="1"/>
    <col min="9" max="9" width="26.81640625" style="1" customWidth="1"/>
    <col min="10" max="10" width="23.7265625" style="1" customWidth="1"/>
    <col min="11" max="11" width="15.1796875" style="1" customWidth="1"/>
    <col min="12" max="14" width="8.6328125" style="1"/>
    <col min="15" max="15" width="13.1796875" style="1" customWidth="1"/>
    <col min="16" max="16" width="10.90625" style="1" customWidth="1"/>
    <col min="17" max="17" width="12.453125" style="1" customWidth="1"/>
    <col min="18" max="18" width="13.81640625" style="1" customWidth="1"/>
    <col min="19" max="19" width="15.81640625" style="1" customWidth="1"/>
    <col min="20" max="16384" width="8.6328125" style="1"/>
  </cols>
  <sheetData>
    <row r="1" spans="1:20" ht="18.5">
      <c r="A1" s="76" t="s">
        <v>218</v>
      </c>
    </row>
    <row r="2" spans="1:20">
      <c r="A2" s="13" t="s">
        <v>2</v>
      </c>
      <c r="B2" s="13">
        <v>59.8</v>
      </c>
      <c r="C2" s="13" t="s">
        <v>3</v>
      </c>
    </row>
    <row r="3" spans="1:20">
      <c r="A3" s="13" t="s">
        <v>1</v>
      </c>
      <c r="B3" s="13">
        <v>561</v>
      </c>
      <c r="C3" s="13" t="s">
        <v>4</v>
      </c>
    </row>
    <row r="4" spans="1:20">
      <c r="A4" s="13" t="s">
        <v>0</v>
      </c>
      <c r="B4" s="13">
        <v>3.24</v>
      </c>
      <c r="C4" s="13" t="s">
        <v>11</v>
      </c>
    </row>
    <row r="5" spans="1:20">
      <c r="A5" s="13" t="s">
        <v>6</v>
      </c>
      <c r="B5" s="29">
        <v>75</v>
      </c>
      <c r="C5" s="13" t="s">
        <v>221</v>
      </c>
    </row>
    <row r="6" spans="1:20">
      <c r="A6" s="13" t="s">
        <v>8</v>
      </c>
      <c r="B6" s="13">
        <v>585</v>
      </c>
      <c r="C6" s="13" t="s">
        <v>9</v>
      </c>
    </row>
    <row r="7" spans="1:20">
      <c r="A7" s="13" t="s">
        <v>6</v>
      </c>
      <c r="B7" s="28">
        <v>75</v>
      </c>
      <c r="C7" s="13" t="s">
        <v>12</v>
      </c>
    </row>
    <row r="8" spans="1:20">
      <c r="A8" s="13" t="s">
        <v>215</v>
      </c>
      <c r="B8" s="28">
        <f>B3/(B4*B7%)</f>
        <v>230.86419753086417</v>
      </c>
      <c r="C8" s="13" t="s">
        <v>13</v>
      </c>
    </row>
    <row r="9" spans="1:20">
      <c r="A9" s="13" t="s">
        <v>216</v>
      </c>
      <c r="B9" s="28">
        <f>B8*1000/B6</f>
        <v>394.63965389891314</v>
      </c>
      <c r="C9" s="13" t="s">
        <v>217</v>
      </c>
    </row>
    <row r="10" spans="1:20">
      <c r="A10" s="13" t="s">
        <v>82</v>
      </c>
      <c r="B10" s="28">
        <f>B20/B22</f>
        <v>10.854816824966079</v>
      </c>
      <c r="C10" s="13" t="s">
        <v>222</v>
      </c>
    </row>
    <row r="11" spans="1:20" ht="13.5" customHeight="1">
      <c r="A11" s="13" t="s">
        <v>83</v>
      </c>
      <c r="B11" s="28">
        <f>B21/B22</f>
        <v>14.473089099954771</v>
      </c>
      <c r="C11" s="13" t="s">
        <v>223</v>
      </c>
    </row>
    <row r="12" spans="1:20">
      <c r="A12" s="13" t="s">
        <v>204</v>
      </c>
      <c r="B12" s="13">
        <v>12</v>
      </c>
      <c r="C12" s="13" t="s">
        <v>224</v>
      </c>
      <c r="T12" s="5"/>
    </row>
    <row r="13" spans="1:20">
      <c r="A13" s="13" t="s">
        <v>70</v>
      </c>
      <c r="B13" s="28">
        <f>B9/B12</f>
        <v>32.886637824909428</v>
      </c>
      <c r="C13" s="13" t="s">
        <v>225</v>
      </c>
    </row>
    <row r="14" spans="1:20">
      <c r="A14" s="13" t="s">
        <v>80</v>
      </c>
      <c r="B14" s="28">
        <f>B12*B13</f>
        <v>394.63965389891314</v>
      </c>
      <c r="C14" s="13" t="s">
        <v>226</v>
      </c>
    </row>
    <row r="15" spans="1:20">
      <c r="A15" s="13" t="s">
        <v>81</v>
      </c>
      <c r="B15" s="28">
        <f>(B14*B6)/1000</f>
        <v>230.86419753086417</v>
      </c>
      <c r="C15" s="13" t="s">
        <v>13</v>
      </c>
    </row>
    <row r="16" spans="1:20">
      <c r="A16" s="13" t="s">
        <v>220</v>
      </c>
      <c r="B16" s="13">
        <v>30</v>
      </c>
      <c r="C16" s="13" t="s">
        <v>219</v>
      </c>
    </row>
    <row r="17" spans="1:5">
      <c r="A17" s="29"/>
      <c r="B17" s="29"/>
      <c r="C17" s="29"/>
    </row>
    <row r="18" spans="1:5">
      <c r="A18" s="13" t="s">
        <v>67</v>
      </c>
      <c r="B18" s="77">
        <f>B2*1.25</f>
        <v>74.75</v>
      </c>
      <c r="C18" s="78" t="s">
        <v>205</v>
      </c>
    </row>
    <row r="19" spans="1:5">
      <c r="A19" s="78" t="s">
        <v>84</v>
      </c>
      <c r="B19" s="13" t="s">
        <v>69</v>
      </c>
      <c r="C19" s="13"/>
    </row>
    <row r="20" spans="1:5">
      <c r="A20" s="13" t="s">
        <v>99</v>
      </c>
      <c r="B20" s="13">
        <v>480</v>
      </c>
      <c r="C20" s="13" t="s">
        <v>72</v>
      </c>
    </row>
    <row r="21" spans="1:5">
      <c r="A21" s="13" t="s">
        <v>100</v>
      </c>
      <c r="B21" s="13">
        <v>640</v>
      </c>
      <c r="C21" s="13" t="s">
        <v>72</v>
      </c>
    </row>
    <row r="22" spans="1:5">
      <c r="A22" s="13" t="s">
        <v>75</v>
      </c>
      <c r="B22" s="13">
        <v>44.22</v>
      </c>
      <c r="C22" s="13" t="s">
        <v>72</v>
      </c>
    </row>
    <row r="23" spans="1:5">
      <c r="A23" s="13" t="s">
        <v>76</v>
      </c>
      <c r="B23" s="13">
        <v>13.23</v>
      </c>
      <c r="C23" s="13" t="s">
        <v>77</v>
      </c>
    </row>
    <row r="24" spans="1:5">
      <c r="A24" s="13" t="s">
        <v>78</v>
      </c>
      <c r="B24" s="13">
        <v>53.42</v>
      </c>
      <c r="C24" s="13" t="s">
        <v>229</v>
      </c>
    </row>
    <row r="25" spans="1:5">
      <c r="A25" s="13" t="s">
        <v>227</v>
      </c>
      <c r="B25" s="13">
        <v>13.91</v>
      </c>
      <c r="C25" s="13" t="s">
        <v>228</v>
      </c>
    </row>
    <row r="27" spans="1:5">
      <c r="A27" s="11" t="s">
        <v>98</v>
      </c>
      <c r="B27" s="11" t="s">
        <v>95</v>
      </c>
      <c r="C27" s="11" t="s">
        <v>202</v>
      </c>
      <c r="D27" s="11" t="s">
        <v>96</v>
      </c>
      <c r="E27" s="11" t="s">
        <v>97</v>
      </c>
    </row>
    <row r="28" spans="1:5">
      <c r="A28" s="11">
        <v>1</v>
      </c>
      <c r="B28" s="10">
        <f>($B$3*1000*$B$32*A28*$B$34%)/($B$36*$B$35%*$B$37%)</f>
        <v>340206.18556701031</v>
      </c>
      <c r="C28" s="11" t="s">
        <v>92</v>
      </c>
      <c r="D28" s="20">
        <f>B28/$B$39</f>
        <v>113.4020618556701</v>
      </c>
      <c r="E28" s="20">
        <f>B16*D28</f>
        <v>3402.0618556701029</v>
      </c>
    </row>
    <row r="29" spans="1:5">
      <c r="A29" s="6"/>
      <c r="B29" s="30"/>
      <c r="C29" s="6"/>
      <c r="D29" s="31"/>
      <c r="E29" s="31"/>
    </row>
    <row r="30" spans="1:5">
      <c r="B30" s="4"/>
      <c r="D30" s="4"/>
      <c r="E30" s="4"/>
    </row>
    <row r="31" spans="1:5">
      <c r="A31" s="8" t="s">
        <v>93</v>
      </c>
      <c r="B31" s="13" t="s">
        <v>201</v>
      </c>
      <c r="C31" s="13" t="s">
        <v>202</v>
      </c>
      <c r="D31" s="13" t="s">
        <v>203</v>
      </c>
      <c r="E31" s="4"/>
    </row>
    <row r="32" spans="1:5">
      <c r="A32" s="13" t="s">
        <v>85</v>
      </c>
      <c r="B32" s="22">
        <v>10</v>
      </c>
      <c r="C32" s="13" t="s">
        <v>12</v>
      </c>
      <c r="D32" s="13" t="s">
        <v>233</v>
      </c>
      <c r="E32" s="4"/>
    </row>
    <row r="33" spans="1:13">
      <c r="A33" s="13" t="s">
        <v>86</v>
      </c>
      <c r="B33" s="22">
        <v>1</v>
      </c>
      <c r="C33" s="13" t="s">
        <v>234</v>
      </c>
      <c r="D33" s="13" t="s">
        <v>232</v>
      </c>
    </row>
    <row r="34" spans="1:13">
      <c r="A34" s="13" t="s">
        <v>87</v>
      </c>
      <c r="B34" s="22">
        <v>10</v>
      </c>
      <c r="C34" s="13" t="s">
        <v>12</v>
      </c>
      <c r="D34" s="13" t="s">
        <v>231</v>
      </c>
    </row>
    <row r="35" spans="1:13">
      <c r="A35" s="13" t="s">
        <v>88</v>
      </c>
      <c r="B35" s="22">
        <v>85</v>
      </c>
      <c r="C35" s="13" t="s">
        <v>12</v>
      </c>
      <c r="D35" s="13" t="s">
        <v>230</v>
      </c>
    </row>
    <row r="36" spans="1:13">
      <c r="A36" s="13" t="s">
        <v>89</v>
      </c>
      <c r="B36" s="22">
        <v>2</v>
      </c>
      <c r="C36" s="13" t="s">
        <v>72</v>
      </c>
      <c r="D36" s="13" t="s">
        <v>196</v>
      </c>
    </row>
    <row r="37" spans="1:13">
      <c r="A37" s="13" t="s">
        <v>90</v>
      </c>
      <c r="B37" s="22">
        <v>97</v>
      </c>
      <c r="C37" s="13" t="s">
        <v>12</v>
      </c>
      <c r="D37" s="13" t="s">
        <v>235</v>
      </c>
    </row>
    <row r="38" spans="1:13">
      <c r="A38" s="13" t="s">
        <v>94</v>
      </c>
      <c r="B38" s="22">
        <v>60</v>
      </c>
      <c r="C38" s="13" t="s">
        <v>72</v>
      </c>
      <c r="D38" s="13"/>
    </row>
    <row r="39" spans="1:13">
      <c r="A39" s="13" t="s">
        <v>91</v>
      </c>
      <c r="B39" s="23">
        <v>3000</v>
      </c>
      <c r="C39" s="13" t="s">
        <v>92</v>
      </c>
      <c r="D39" s="13"/>
    </row>
    <row r="40" spans="1:13">
      <c r="A40" s="29"/>
      <c r="B40" s="32"/>
      <c r="C40" s="29"/>
      <c r="D40" s="29"/>
    </row>
    <row r="42" spans="1:13" ht="29">
      <c r="A42" s="9" t="s">
        <v>198</v>
      </c>
      <c r="B42" s="9" t="s">
        <v>177</v>
      </c>
      <c r="C42" s="9" t="s">
        <v>178</v>
      </c>
      <c r="D42" s="9" t="s">
        <v>179</v>
      </c>
      <c r="E42" s="9" t="s">
        <v>180</v>
      </c>
      <c r="F42" s="9" t="s">
        <v>209</v>
      </c>
      <c r="G42" s="9" t="s">
        <v>181</v>
      </c>
      <c r="H42" s="9" t="s">
        <v>173</v>
      </c>
      <c r="I42" s="9" t="s">
        <v>174</v>
      </c>
      <c r="J42" s="5"/>
      <c r="K42" s="25"/>
      <c r="L42" s="25"/>
      <c r="M42" s="26"/>
    </row>
    <row r="43" spans="1:13">
      <c r="A43" s="8" t="s">
        <v>161</v>
      </c>
      <c r="B43" s="12">
        <v>33852</v>
      </c>
      <c r="C43" s="12">
        <v>17391</v>
      </c>
      <c r="D43" s="12">
        <v>14884</v>
      </c>
      <c r="E43" s="12">
        <f>B43-(C43+D43)</f>
        <v>1577</v>
      </c>
      <c r="F43" s="22">
        <v>0</v>
      </c>
      <c r="G43" s="12">
        <v>17391</v>
      </c>
      <c r="H43" s="14">
        <v>1</v>
      </c>
      <c r="I43" s="15">
        <v>0.44</v>
      </c>
      <c r="K43" s="27"/>
      <c r="L43" s="27"/>
      <c r="M43" s="27"/>
    </row>
    <row r="44" spans="1:13">
      <c r="A44" s="13" t="s">
        <v>162</v>
      </c>
      <c r="B44" s="12">
        <v>30233</v>
      </c>
      <c r="C44" s="12">
        <v>15708</v>
      </c>
      <c r="D44" s="12">
        <v>13820</v>
      </c>
      <c r="E44" s="12">
        <f t="shared" ref="E44:E54" si="0">B44-(C44+D44)</f>
        <v>705</v>
      </c>
      <c r="F44" s="22">
        <v>0</v>
      </c>
      <c r="G44" s="12">
        <v>15708</v>
      </c>
      <c r="H44" s="14">
        <v>1</v>
      </c>
      <c r="I44" s="15">
        <v>0.45</v>
      </c>
      <c r="K44" s="27"/>
      <c r="L44" s="27"/>
      <c r="M44" s="27"/>
    </row>
    <row r="45" spans="1:13">
      <c r="A45" s="13" t="s">
        <v>163</v>
      </c>
      <c r="B45" s="12">
        <v>29995</v>
      </c>
      <c r="C45" s="12">
        <v>17391</v>
      </c>
      <c r="D45" s="12">
        <v>12434</v>
      </c>
      <c r="E45" s="12">
        <f t="shared" si="0"/>
        <v>170</v>
      </c>
      <c r="F45" s="22">
        <v>0</v>
      </c>
      <c r="G45" s="12">
        <v>17391</v>
      </c>
      <c r="H45" s="14">
        <v>1</v>
      </c>
      <c r="I45" s="15">
        <v>0.5</v>
      </c>
      <c r="K45" s="27"/>
      <c r="L45" s="27"/>
      <c r="M45" s="27"/>
    </row>
    <row r="46" spans="1:13">
      <c r="A46" s="13" t="s">
        <v>164</v>
      </c>
      <c r="B46" s="12">
        <v>27249</v>
      </c>
      <c r="C46" s="12">
        <v>16830</v>
      </c>
      <c r="D46" s="12">
        <v>9047</v>
      </c>
      <c r="E46" s="12">
        <f t="shared" si="0"/>
        <v>1372</v>
      </c>
      <c r="F46" s="22">
        <v>0</v>
      </c>
      <c r="G46" s="12">
        <v>16830</v>
      </c>
      <c r="H46" s="14">
        <v>1</v>
      </c>
      <c r="I46" s="15">
        <v>0.52</v>
      </c>
      <c r="K46" s="27"/>
      <c r="L46" s="27"/>
      <c r="M46" s="27"/>
    </row>
    <row r="47" spans="1:13">
      <c r="A47" s="13" t="s">
        <v>165</v>
      </c>
      <c r="B47" s="12">
        <v>25516</v>
      </c>
      <c r="C47" s="12">
        <v>17391</v>
      </c>
      <c r="D47" s="12">
        <v>7697</v>
      </c>
      <c r="E47" s="12">
        <f t="shared" si="0"/>
        <v>428</v>
      </c>
      <c r="F47" s="22">
        <v>0</v>
      </c>
      <c r="G47" s="12">
        <v>17391</v>
      </c>
      <c r="H47" s="14">
        <v>1</v>
      </c>
      <c r="I47" s="15">
        <v>0.56999999999999995</v>
      </c>
      <c r="K47" s="27"/>
      <c r="L47" s="27"/>
      <c r="M47" s="27"/>
    </row>
    <row r="48" spans="1:13">
      <c r="A48" s="13" t="s">
        <v>166</v>
      </c>
      <c r="B48" s="12">
        <v>20371</v>
      </c>
      <c r="C48" s="12">
        <v>16830</v>
      </c>
      <c r="D48" s="12">
        <v>3210</v>
      </c>
      <c r="E48" s="12">
        <f t="shared" si="0"/>
        <v>331</v>
      </c>
      <c r="F48" s="22">
        <v>0</v>
      </c>
      <c r="G48" s="12">
        <v>16830</v>
      </c>
      <c r="H48" s="14">
        <v>1</v>
      </c>
      <c r="I48" s="15">
        <v>0.7</v>
      </c>
      <c r="K48" s="27"/>
      <c r="L48" s="27"/>
      <c r="M48" s="27"/>
    </row>
    <row r="49" spans="1:13">
      <c r="A49" s="13" t="s">
        <v>167</v>
      </c>
      <c r="B49" s="12">
        <v>19274</v>
      </c>
      <c r="C49" s="12">
        <v>17391</v>
      </c>
      <c r="D49" s="12">
        <v>2549</v>
      </c>
      <c r="E49" s="12">
        <f>-(B49-(C49+D49))</f>
        <v>666</v>
      </c>
      <c r="F49" s="22">
        <v>0</v>
      </c>
      <c r="G49" s="12">
        <v>17391</v>
      </c>
      <c r="H49" s="14">
        <v>1</v>
      </c>
      <c r="I49" s="15">
        <v>0.755</v>
      </c>
      <c r="K49" s="27"/>
      <c r="L49" s="27"/>
      <c r="M49" s="27"/>
    </row>
    <row r="50" spans="1:13">
      <c r="A50" s="13" t="s">
        <v>168</v>
      </c>
      <c r="B50" s="12">
        <v>20714</v>
      </c>
      <c r="C50" s="12">
        <v>16466</v>
      </c>
      <c r="D50" s="12">
        <v>2049</v>
      </c>
      <c r="E50" s="12">
        <f t="shared" si="0"/>
        <v>2199</v>
      </c>
      <c r="F50" s="22">
        <v>925</v>
      </c>
      <c r="G50" s="12">
        <v>17391</v>
      </c>
      <c r="H50" s="14">
        <v>0.94699999999999995</v>
      </c>
      <c r="I50" s="15">
        <v>0.66</v>
      </c>
      <c r="K50" s="27"/>
      <c r="L50" s="27"/>
      <c r="M50" s="27"/>
    </row>
    <row r="51" spans="1:13">
      <c r="A51" s="13" t="s">
        <v>169</v>
      </c>
      <c r="B51" s="12">
        <v>20318</v>
      </c>
      <c r="C51" s="12">
        <v>15457</v>
      </c>
      <c r="D51" s="12">
        <v>4226</v>
      </c>
      <c r="E51" s="12">
        <f t="shared" si="0"/>
        <v>635</v>
      </c>
      <c r="F51" s="23">
        <v>1274</v>
      </c>
      <c r="G51" s="12">
        <v>16830</v>
      </c>
      <c r="H51" s="14">
        <v>0.91800000000000004</v>
      </c>
      <c r="I51" s="15">
        <v>0.63</v>
      </c>
      <c r="K51" s="27"/>
      <c r="L51" s="27"/>
      <c r="M51" s="27"/>
    </row>
    <row r="52" spans="1:13">
      <c r="A52" s="13" t="s">
        <v>170</v>
      </c>
      <c r="B52" s="12">
        <v>22744</v>
      </c>
      <c r="C52" s="12">
        <v>17391</v>
      </c>
      <c r="D52" s="12">
        <v>4887</v>
      </c>
      <c r="E52" s="12">
        <f t="shared" si="0"/>
        <v>466</v>
      </c>
      <c r="F52" s="22">
        <v>0</v>
      </c>
      <c r="G52" s="12">
        <v>17391</v>
      </c>
      <c r="H52" s="14">
        <v>1</v>
      </c>
      <c r="I52" s="15">
        <v>0.63</v>
      </c>
      <c r="K52" s="27"/>
      <c r="L52" s="27"/>
      <c r="M52" s="27"/>
    </row>
    <row r="53" spans="1:13">
      <c r="A53" s="13" t="s">
        <v>171</v>
      </c>
      <c r="B53" s="12">
        <v>25955</v>
      </c>
      <c r="C53" s="12">
        <v>16830</v>
      </c>
      <c r="D53" s="12">
        <v>8688</v>
      </c>
      <c r="E53" s="12">
        <f t="shared" si="0"/>
        <v>437</v>
      </c>
      <c r="F53" s="22">
        <v>0</v>
      </c>
      <c r="G53" s="12">
        <v>16830</v>
      </c>
      <c r="H53" s="14">
        <v>1</v>
      </c>
      <c r="I53" s="15">
        <v>0.51500000000000001</v>
      </c>
      <c r="K53" s="27"/>
      <c r="L53" s="27"/>
      <c r="M53" s="27"/>
    </row>
    <row r="54" spans="1:13">
      <c r="A54" s="13" t="s">
        <v>172</v>
      </c>
      <c r="B54" s="12">
        <v>32517</v>
      </c>
      <c r="C54" s="12">
        <v>17391</v>
      </c>
      <c r="D54" s="12">
        <v>13890</v>
      </c>
      <c r="E54" s="12">
        <f t="shared" si="0"/>
        <v>1236</v>
      </c>
      <c r="F54" s="22">
        <v>0</v>
      </c>
      <c r="G54" s="12">
        <v>17391</v>
      </c>
      <c r="H54" s="14">
        <v>1</v>
      </c>
      <c r="I54" s="15">
        <v>0.4</v>
      </c>
      <c r="K54" s="27"/>
      <c r="L54" s="27"/>
      <c r="M54" s="27"/>
    </row>
    <row r="55" spans="1:13">
      <c r="B55" s="16" t="s">
        <v>199</v>
      </c>
      <c r="C55" s="17">
        <f>SUM(C43:C54)</f>
        <v>202467</v>
      </c>
      <c r="D55" s="17"/>
      <c r="E55" s="17"/>
      <c r="F55" s="18"/>
      <c r="G55" s="18"/>
      <c r="H55" s="16" t="s">
        <v>200</v>
      </c>
      <c r="I55" s="19">
        <f>SUM(I43:I54)/12</f>
        <v>0.56416666666666659</v>
      </c>
    </row>
    <row r="56" spans="1:13" s="5" customFormat="1" ht="14" customHeight="1">
      <c r="A56" s="1"/>
      <c r="B56" s="1"/>
      <c r="C56" s="1"/>
      <c r="D56" s="1"/>
      <c r="E56" s="1"/>
      <c r="F56" s="1"/>
      <c r="G56" s="1"/>
      <c r="H56" s="1"/>
      <c r="I56" s="1"/>
      <c r="J56" s="1"/>
    </row>
    <row r="58" spans="1:13">
      <c r="A58" s="2" t="s">
        <v>182</v>
      </c>
    </row>
    <row r="59" spans="1:13">
      <c r="A59" s="2" t="s">
        <v>183</v>
      </c>
    </row>
    <row r="60" spans="1:13" ht="29">
      <c r="A60" s="9" t="s">
        <v>198</v>
      </c>
      <c r="B60" s="9" t="s">
        <v>184</v>
      </c>
      <c r="C60" s="9" t="s">
        <v>185</v>
      </c>
      <c r="D60" s="9" t="s">
        <v>186</v>
      </c>
      <c r="E60" s="9" t="s">
        <v>187</v>
      </c>
      <c r="F60" s="9" t="s">
        <v>188</v>
      </c>
      <c r="G60" s="9" t="s">
        <v>189</v>
      </c>
      <c r="H60" s="9" t="s">
        <v>190</v>
      </c>
      <c r="I60" s="9" t="s">
        <v>192</v>
      </c>
      <c r="J60" s="9" t="s">
        <v>191</v>
      </c>
    </row>
    <row r="61" spans="1:13">
      <c r="A61" s="13" t="s">
        <v>202</v>
      </c>
      <c r="B61" s="13" t="s">
        <v>42</v>
      </c>
      <c r="C61" s="13" t="s">
        <v>42</v>
      </c>
      <c r="D61" s="13" t="s">
        <v>72</v>
      </c>
      <c r="E61" s="13" t="s">
        <v>92</v>
      </c>
      <c r="F61" s="13" t="s">
        <v>42</v>
      </c>
      <c r="G61" s="13" t="s">
        <v>42</v>
      </c>
      <c r="H61" s="13" t="s">
        <v>42</v>
      </c>
      <c r="I61" s="13" t="s">
        <v>42</v>
      </c>
      <c r="J61" s="13" t="s">
        <v>42</v>
      </c>
    </row>
    <row r="62" spans="1:13">
      <c r="A62" s="13" t="s">
        <v>161</v>
      </c>
      <c r="B62" s="12">
        <v>10609</v>
      </c>
      <c r="C62" s="12">
        <v>12101</v>
      </c>
      <c r="D62" s="13">
        <v>63.8</v>
      </c>
      <c r="E62" s="21">
        <v>166106</v>
      </c>
      <c r="F62" s="12">
        <v>18968</v>
      </c>
      <c r="G62" s="12">
        <v>814</v>
      </c>
      <c r="H62" s="12">
        <f>F62+G62</f>
        <v>19782</v>
      </c>
      <c r="I62" s="12">
        <f>B62*(F62)/H62</f>
        <v>10172.455363461733</v>
      </c>
      <c r="J62" s="12">
        <f t="shared" ref="J62:J74" si="1">C43-I62</f>
        <v>7218.5446365382668</v>
      </c>
    </row>
    <row r="63" spans="1:13">
      <c r="A63" s="13" t="s">
        <v>162</v>
      </c>
      <c r="B63" s="12">
        <v>9940</v>
      </c>
      <c r="C63" s="12">
        <v>10557</v>
      </c>
      <c r="D63" s="13">
        <v>63.8</v>
      </c>
      <c r="E63" s="21">
        <v>155578.70000000001</v>
      </c>
      <c r="F63" s="12">
        <v>16413</v>
      </c>
      <c r="G63" s="12">
        <v>736</v>
      </c>
      <c r="H63" s="12">
        <f t="shared" ref="H63:H73" si="2">F63+G63</f>
        <v>17149</v>
      </c>
      <c r="I63" s="12">
        <f t="shared" ref="I63:I74" si="3">B63*(F63)/H63</f>
        <v>9513.3955332672467</v>
      </c>
      <c r="J63" s="12">
        <f t="shared" si="1"/>
        <v>6194.6044667327533</v>
      </c>
    </row>
    <row r="64" spans="1:13">
      <c r="A64" s="13" t="s">
        <v>163</v>
      </c>
      <c r="B64" s="12">
        <v>10564</v>
      </c>
      <c r="C64" s="12">
        <v>10659</v>
      </c>
      <c r="D64" s="13">
        <v>63.8</v>
      </c>
      <c r="E64" s="21">
        <v>165488.4</v>
      </c>
      <c r="F64" s="12">
        <v>17561</v>
      </c>
      <c r="G64" s="12">
        <v>835</v>
      </c>
      <c r="H64" s="12">
        <f t="shared" si="2"/>
        <v>18396</v>
      </c>
      <c r="I64" s="12">
        <f t="shared" si="3"/>
        <v>10084.496847140683</v>
      </c>
      <c r="J64" s="12">
        <f t="shared" si="1"/>
        <v>7306.5031528593172</v>
      </c>
    </row>
    <row r="65" spans="1:10">
      <c r="A65" s="13" t="s">
        <v>164</v>
      </c>
      <c r="B65" s="12">
        <v>9033</v>
      </c>
      <c r="C65" s="12">
        <v>10351</v>
      </c>
      <c r="D65" s="13">
        <v>63.6</v>
      </c>
      <c r="E65" s="21">
        <v>141750.79999999999</v>
      </c>
      <c r="F65" s="12">
        <v>18202</v>
      </c>
      <c r="G65" s="12">
        <v>859</v>
      </c>
      <c r="H65" s="12">
        <f t="shared" si="2"/>
        <v>19061</v>
      </c>
      <c r="I65" s="12">
        <f t="shared" si="3"/>
        <v>8625.9202560201466</v>
      </c>
      <c r="J65" s="12">
        <f t="shared" si="1"/>
        <v>8204.0797439798534</v>
      </c>
    </row>
    <row r="66" spans="1:10">
      <c r="A66" s="13" t="s">
        <v>165</v>
      </c>
      <c r="B66" s="12">
        <v>9106</v>
      </c>
      <c r="C66" s="12">
        <v>9484</v>
      </c>
      <c r="D66" s="13">
        <v>63.7</v>
      </c>
      <c r="E66" s="21">
        <v>142752.79999999999</v>
      </c>
      <c r="F66" s="12">
        <v>17819</v>
      </c>
      <c r="G66" s="12">
        <v>850</v>
      </c>
      <c r="H66" s="12">
        <f t="shared" si="2"/>
        <v>18669</v>
      </c>
      <c r="I66" s="12">
        <f t="shared" si="3"/>
        <v>8691.4036102630034</v>
      </c>
      <c r="J66" s="12">
        <f t="shared" si="1"/>
        <v>8699.5963897369966</v>
      </c>
    </row>
    <row r="67" spans="1:10">
      <c r="A67" s="13" t="s">
        <v>166</v>
      </c>
      <c r="B67" s="12">
        <v>8469</v>
      </c>
      <c r="C67" s="12">
        <v>8771</v>
      </c>
      <c r="D67" s="13">
        <v>63.4</v>
      </c>
      <c r="E67" s="21">
        <v>133598.1</v>
      </c>
      <c r="F67" s="12">
        <v>17160</v>
      </c>
      <c r="G67" s="12">
        <v>950</v>
      </c>
      <c r="H67" s="12">
        <f t="shared" si="2"/>
        <v>18110</v>
      </c>
      <c r="I67" s="12">
        <f t="shared" si="3"/>
        <v>8024.7399226946436</v>
      </c>
      <c r="J67" s="12">
        <f t="shared" si="1"/>
        <v>8805.2600773053564</v>
      </c>
    </row>
    <row r="68" spans="1:10">
      <c r="A68" s="13" t="s">
        <v>167</v>
      </c>
      <c r="B68" s="12">
        <v>8645</v>
      </c>
      <c r="C68" s="12">
        <v>7952</v>
      </c>
      <c r="D68" s="13">
        <v>63.1</v>
      </c>
      <c r="E68" s="21">
        <v>136988.70000000001</v>
      </c>
      <c r="F68" s="12">
        <v>16726</v>
      </c>
      <c r="G68" s="12">
        <v>997</v>
      </c>
      <c r="H68" s="12">
        <f t="shared" si="2"/>
        <v>17723</v>
      </c>
      <c r="I68" s="12">
        <f t="shared" si="3"/>
        <v>8158.6791175308917</v>
      </c>
      <c r="J68" s="12">
        <f t="shared" si="1"/>
        <v>9232.3208824691083</v>
      </c>
    </row>
    <row r="69" spans="1:10">
      <c r="A69" s="13" t="s">
        <v>168</v>
      </c>
      <c r="B69" s="12">
        <v>7518</v>
      </c>
      <c r="C69" s="12">
        <v>9690</v>
      </c>
      <c r="D69" s="13">
        <v>63.1</v>
      </c>
      <c r="E69" s="21">
        <v>118824.1</v>
      </c>
      <c r="F69" s="12">
        <v>18664</v>
      </c>
      <c r="G69" s="12">
        <v>1010</v>
      </c>
      <c r="H69" s="12">
        <f t="shared" si="2"/>
        <v>19674</v>
      </c>
      <c r="I69" s="12">
        <f t="shared" si="3"/>
        <v>7132.0500152485511</v>
      </c>
      <c r="J69" s="12">
        <f t="shared" si="1"/>
        <v>9333.9499847514489</v>
      </c>
    </row>
    <row r="70" spans="1:10">
      <c r="A70" s="13" t="s">
        <v>169</v>
      </c>
      <c r="B70" s="12">
        <v>8028</v>
      </c>
      <c r="C70" s="12">
        <v>8627</v>
      </c>
      <c r="D70" s="13">
        <v>63</v>
      </c>
      <c r="E70" s="21">
        <v>127007.9</v>
      </c>
      <c r="F70" s="12">
        <v>16092</v>
      </c>
      <c r="G70" s="12">
        <v>921</v>
      </c>
      <c r="H70" s="12">
        <f t="shared" si="2"/>
        <v>17013</v>
      </c>
      <c r="I70" s="12">
        <f t="shared" si="3"/>
        <v>7593.4036325163106</v>
      </c>
      <c r="J70" s="12">
        <f t="shared" si="1"/>
        <v>7863.5963674836894</v>
      </c>
    </row>
    <row r="71" spans="1:10">
      <c r="A71" s="13" t="s">
        <v>170</v>
      </c>
      <c r="B71" s="12">
        <v>8814</v>
      </c>
      <c r="C71" s="12">
        <v>9242</v>
      </c>
      <c r="D71" s="13">
        <v>63.1</v>
      </c>
      <c r="E71" s="21">
        <v>139532.1</v>
      </c>
      <c r="F71" s="12">
        <v>17857</v>
      </c>
      <c r="G71" s="12">
        <v>996</v>
      </c>
      <c r="H71" s="12">
        <f t="shared" si="2"/>
        <v>18853</v>
      </c>
      <c r="I71" s="12">
        <f t="shared" si="3"/>
        <v>8348.3582453720901</v>
      </c>
      <c r="J71" s="12">
        <f t="shared" si="1"/>
        <v>9042.6417546279099</v>
      </c>
    </row>
    <row r="72" spans="1:10">
      <c r="A72" s="13" t="s">
        <v>171</v>
      </c>
      <c r="B72" s="12">
        <v>9412</v>
      </c>
      <c r="C72" s="12">
        <v>9791</v>
      </c>
      <c r="D72" s="13">
        <v>63.7</v>
      </c>
      <c r="E72" s="21">
        <v>147562.20000000001</v>
      </c>
      <c r="F72" s="12">
        <v>17267</v>
      </c>
      <c r="G72" s="12">
        <v>857</v>
      </c>
      <c r="H72" s="12">
        <f t="shared" si="2"/>
        <v>18124</v>
      </c>
      <c r="I72" s="12">
        <f t="shared" si="3"/>
        <v>8966.9501213860076</v>
      </c>
      <c r="J72" s="12">
        <f t="shared" si="1"/>
        <v>7863.0498786139924</v>
      </c>
    </row>
    <row r="73" spans="1:10">
      <c r="A73" s="13" t="s">
        <v>172</v>
      </c>
      <c r="B73" s="12">
        <v>10948</v>
      </c>
      <c r="C73" s="12">
        <v>12101</v>
      </c>
      <c r="D73" s="13">
        <v>63.8</v>
      </c>
      <c r="E73" s="21">
        <v>171356.6</v>
      </c>
      <c r="F73" s="12">
        <v>18627</v>
      </c>
      <c r="G73" s="12">
        <v>755</v>
      </c>
      <c r="H73" s="12">
        <f t="shared" si="2"/>
        <v>19382</v>
      </c>
      <c r="I73" s="12">
        <f t="shared" si="3"/>
        <v>10521.535238881437</v>
      </c>
      <c r="J73" s="12">
        <f t="shared" si="1"/>
        <v>6869.4647611185628</v>
      </c>
    </row>
    <row r="74" spans="1:10">
      <c r="A74" s="13" t="s">
        <v>52</v>
      </c>
      <c r="B74" s="12">
        <v>111085</v>
      </c>
      <c r="C74" s="12">
        <v>119325</v>
      </c>
      <c r="D74" s="13">
        <v>63.5</v>
      </c>
      <c r="E74" s="21">
        <v>1746546.4</v>
      </c>
      <c r="F74" s="12">
        <v>211356</v>
      </c>
      <c r="G74" s="12">
        <v>10580</v>
      </c>
      <c r="H74" s="12">
        <f>F74+G74</f>
        <v>221936</v>
      </c>
      <c r="I74" s="12">
        <f t="shared" si="3"/>
        <v>105789.42244611059</v>
      </c>
      <c r="J74" s="12">
        <f t="shared" si="1"/>
        <v>96677.577553889409</v>
      </c>
    </row>
    <row r="75" spans="1:10">
      <c r="A75" s="29"/>
      <c r="B75" s="33"/>
      <c r="C75" s="33"/>
      <c r="D75" s="29"/>
      <c r="E75" s="34"/>
      <c r="F75" s="33"/>
      <c r="G75" s="33"/>
      <c r="H75" s="33"/>
      <c r="I75" s="33"/>
      <c r="J75" s="33"/>
    </row>
    <row r="77" spans="1:10" ht="29">
      <c r="A77" s="9" t="s">
        <v>175</v>
      </c>
      <c r="B77" s="9" t="s">
        <v>176</v>
      </c>
      <c r="C77" s="9" t="s">
        <v>210</v>
      </c>
      <c r="D77" s="9" t="s">
        <v>211</v>
      </c>
      <c r="E77" s="9" t="s">
        <v>212</v>
      </c>
    </row>
    <row r="78" spans="1:10">
      <c r="A78" s="24">
        <v>0</v>
      </c>
      <c r="B78" s="13">
        <v>9</v>
      </c>
      <c r="C78" s="13">
        <v>8.8000000000000007</v>
      </c>
      <c r="D78" s="13">
        <v>7.9</v>
      </c>
      <c r="E78" s="13">
        <v>8.6999999999999993</v>
      </c>
    </row>
    <row r="79" spans="1:10">
      <c r="A79" s="24">
        <v>4.1666666666666664E-2</v>
      </c>
      <c r="B79" s="13">
        <v>9</v>
      </c>
      <c r="C79" s="13">
        <v>8.8000000000000007</v>
      </c>
      <c r="D79" s="13">
        <v>7.9</v>
      </c>
      <c r="E79" s="13">
        <v>8.6999999999999993</v>
      </c>
    </row>
    <row r="80" spans="1:10">
      <c r="A80" s="24">
        <v>8.3333333333333301E-2</v>
      </c>
      <c r="B80" s="13">
        <v>9</v>
      </c>
      <c r="C80" s="13">
        <v>8.8000000000000007</v>
      </c>
      <c r="D80" s="13">
        <v>7.9</v>
      </c>
      <c r="E80" s="13">
        <v>8.6999999999999993</v>
      </c>
    </row>
    <row r="81" spans="1:5">
      <c r="A81" s="24">
        <v>0.125</v>
      </c>
      <c r="B81" s="13">
        <v>9</v>
      </c>
      <c r="C81" s="13">
        <v>8.8000000000000007</v>
      </c>
      <c r="D81" s="13">
        <v>7.9</v>
      </c>
      <c r="E81" s="13">
        <v>8.6999999999999993</v>
      </c>
    </row>
    <row r="82" spans="1:5">
      <c r="A82" s="24">
        <v>0.16666666666666699</v>
      </c>
      <c r="B82" s="13">
        <v>9</v>
      </c>
      <c r="C82" s="13">
        <v>8.8000000000000007</v>
      </c>
      <c r="D82" s="13">
        <v>7.9</v>
      </c>
      <c r="E82" s="13">
        <v>8.6999999999999993</v>
      </c>
    </row>
    <row r="83" spans="1:5">
      <c r="A83" s="24">
        <v>0.20833333333333301</v>
      </c>
      <c r="B83" s="13">
        <v>9</v>
      </c>
      <c r="C83" s="13">
        <v>8.8000000000000007</v>
      </c>
      <c r="D83" s="13">
        <v>7.9</v>
      </c>
      <c r="E83" s="13">
        <v>8.6999999999999993</v>
      </c>
    </row>
    <row r="84" spans="1:5">
      <c r="A84" s="24">
        <v>0.25</v>
      </c>
      <c r="B84" s="13">
        <v>9</v>
      </c>
      <c r="C84" s="13">
        <v>8.8000000000000007</v>
      </c>
      <c r="D84" s="13">
        <v>7.9</v>
      </c>
      <c r="E84" s="13">
        <v>8.6999999999999993</v>
      </c>
    </row>
    <row r="85" spans="1:5">
      <c r="A85" s="24">
        <v>0.29166666666666702</v>
      </c>
      <c r="B85" s="13">
        <v>9</v>
      </c>
      <c r="C85" s="13">
        <v>8.8000000000000007</v>
      </c>
      <c r="D85" s="13">
        <v>7.9</v>
      </c>
      <c r="E85" s="13">
        <v>8.6999999999999993</v>
      </c>
    </row>
    <row r="86" spans="1:5">
      <c r="A86" s="24">
        <v>0.33333333333333298</v>
      </c>
      <c r="B86" s="13">
        <v>21</v>
      </c>
      <c r="C86" s="13">
        <v>21.3</v>
      </c>
      <c r="D86" s="13">
        <v>19.100000000000001</v>
      </c>
      <c r="E86" s="13">
        <v>21</v>
      </c>
    </row>
    <row r="87" spans="1:5">
      <c r="A87" s="24">
        <v>0.375</v>
      </c>
      <c r="B87" s="13">
        <v>33.5</v>
      </c>
      <c r="C87" s="13">
        <v>35.1</v>
      </c>
      <c r="D87" s="13">
        <v>31.6</v>
      </c>
      <c r="E87" s="13">
        <v>34.700000000000003</v>
      </c>
    </row>
    <row r="88" spans="1:5">
      <c r="A88" s="24">
        <v>0.41666666666666702</v>
      </c>
      <c r="B88" s="13">
        <v>47</v>
      </c>
      <c r="C88" s="13">
        <v>46.4</v>
      </c>
      <c r="D88" s="13">
        <v>42</v>
      </c>
      <c r="E88" s="13">
        <v>45.8</v>
      </c>
    </row>
    <row r="89" spans="1:5">
      <c r="A89" s="24">
        <v>0.45833333333333298</v>
      </c>
      <c r="B89" s="13">
        <v>47</v>
      </c>
      <c r="C89" s="13">
        <v>46.4</v>
      </c>
      <c r="D89" s="13">
        <v>43.3</v>
      </c>
      <c r="E89" s="13">
        <v>45.9</v>
      </c>
    </row>
    <row r="90" spans="1:5">
      <c r="A90" s="24">
        <v>0.5</v>
      </c>
      <c r="B90" s="13">
        <v>47</v>
      </c>
      <c r="C90" s="13">
        <v>46.4</v>
      </c>
      <c r="D90" s="13">
        <v>43.3</v>
      </c>
      <c r="E90" s="13">
        <v>46</v>
      </c>
    </row>
    <row r="91" spans="1:5">
      <c r="A91" s="24">
        <v>0.54166666666666696</v>
      </c>
      <c r="B91" s="13">
        <v>45</v>
      </c>
      <c r="C91" s="13">
        <v>45</v>
      </c>
      <c r="D91" s="13">
        <v>42</v>
      </c>
      <c r="E91" s="13">
        <v>44.6</v>
      </c>
    </row>
    <row r="92" spans="1:5">
      <c r="A92" s="24">
        <v>0.58333333333333304</v>
      </c>
      <c r="B92" s="13">
        <v>33.5</v>
      </c>
      <c r="C92" s="13">
        <v>33.700000000000003</v>
      </c>
      <c r="D92" s="13">
        <v>31.5</v>
      </c>
      <c r="E92" s="13">
        <v>33.4</v>
      </c>
    </row>
    <row r="93" spans="1:5">
      <c r="A93" s="24">
        <v>0.625</v>
      </c>
      <c r="B93" s="13">
        <v>33.5</v>
      </c>
      <c r="C93" s="13">
        <v>33.700000000000003</v>
      </c>
      <c r="D93" s="13">
        <v>31.5</v>
      </c>
      <c r="E93" s="13">
        <v>33.4</v>
      </c>
    </row>
    <row r="94" spans="1:5">
      <c r="A94" s="24">
        <v>0.66666666666666696</v>
      </c>
      <c r="B94" s="13">
        <v>33.5</v>
      </c>
      <c r="C94" s="13">
        <v>33.700000000000003</v>
      </c>
      <c r="D94" s="13">
        <v>31.5</v>
      </c>
      <c r="E94" s="13">
        <v>33.4</v>
      </c>
    </row>
    <row r="95" spans="1:5">
      <c r="A95" s="24">
        <v>0.70833333333333304</v>
      </c>
      <c r="B95" s="13">
        <v>33.5</v>
      </c>
      <c r="C95" s="13">
        <v>33.700000000000003</v>
      </c>
      <c r="D95" s="13">
        <v>31.5</v>
      </c>
      <c r="E95" s="13">
        <v>33.4</v>
      </c>
    </row>
    <row r="96" spans="1:5">
      <c r="A96" s="24">
        <v>0.75</v>
      </c>
      <c r="B96" s="13">
        <v>33.5</v>
      </c>
      <c r="C96" s="13">
        <v>33.700000000000003</v>
      </c>
      <c r="D96" s="13">
        <v>32.4</v>
      </c>
      <c r="E96" s="13">
        <v>33.299999999999997</v>
      </c>
    </row>
    <row r="97" spans="1:5">
      <c r="A97" s="24">
        <v>0.79166666666666696</v>
      </c>
      <c r="B97" s="13">
        <v>21</v>
      </c>
      <c r="C97" s="13">
        <v>21.3</v>
      </c>
      <c r="D97" s="13">
        <v>19.100000000000001</v>
      </c>
      <c r="E97" s="13">
        <v>21</v>
      </c>
    </row>
    <row r="98" spans="1:5">
      <c r="A98" s="24">
        <v>0.83333333333333304</v>
      </c>
      <c r="B98" s="13">
        <v>21</v>
      </c>
      <c r="C98" s="13">
        <v>21.3</v>
      </c>
      <c r="D98" s="13">
        <v>19.100000000000001</v>
      </c>
      <c r="E98" s="13">
        <v>21</v>
      </c>
    </row>
    <row r="99" spans="1:5">
      <c r="A99" s="24">
        <v>0.875</v>
      </c>
      <c r="B99" s="13">
        <v>21</v>
      </c>
      <c r="C99" s="13">
        <v>21.3</v>
      </c>
      <c r="D99" s="13">
        <v>19.2</v>
      </c>
      <c r="E99" s="13">
        <v>21</v>
      </c>
    </row>
    <row r="100" spans="1:5">
      <c r="A100" s="24">
        <v>0.91666666666666696</v>
      </c>
      <c r="B100" s="13">
        <v>9</v>
      </c>
      <c r="C100" s="13">
        <v>8.8000000000000007</v>
      </c>
      <c r="D100" s="13">
        <v>7.9</v>
      </c>
      <c r="E100" s="13">
        <v>8.6999999999999993</v>
      </c>
    </row>
    <row r="101" spans="1:5">
      <c r="A101" s="24">
        <v>0.95833333333333304</v>
      </c>
      <c r="B101" s="13">
        <v>9</v>
      </c>
      <c r="C101" s="13">
        <v>8.8000000000000007</v>
      </c>
      <c r="D101" s="13">
        <v>7.9</v>
      </c>
      <c r="E101" s="13">
        <v>8.6999999999999993</v>
      </c>
    </row>
    <row r="102" spans="1:5">
      <c r="B102" s="16"/>
      <c r="C102" s="16"/>
      <c r="D102" s="16"/>
      <c r="E102" s="16"/>
    </row>
    <row r="103" spans="1:5">
      <c r="C103" s="1" t="s">
        <v>213</v>
      </c>
      <c r="D103" s="1" t="s">
        <v>162</v>
      </c>
    </row>
    <row r="104" spans="1:5">
      <c r="C104" s="1" t="s">
        <v>214</v>
      </c>
      <c r="D104" s="1" t="s">
        <v>167</v>
      </c>
    </row>
    <row r="120" spans="12:13">
      <c r="L120" s="5"/>
      <c r="M120" s="5"/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2FF12-6361-483E-A3D9-05FF977444BB}">
  <dimension ref="B1:M32"/>
  <sheetViews>
    <sheetView topLeftCell="A50" zoomScale="60" zoomScaleNormal="98" workbookViewId="0">
      <selection activeCell="H83" sqref="H83"/>
    </sheetView>
  </sheetViews>
  <sheetFormatPr defaultColWidth="8.6328125" defaultRowHeight="14.5"/>
  <cols>
    <col min="1" max="1" width="1.453125" style="1" customWidth="1"/>
    <col min="2" max="2" width="14.08984375" style="1" bestFit="1" customWidth="1"/>
    <col min="3" max="3" width="8.6328125" style="1"/>
    <col min="4" max="4" width="17.1796875" style="1" customWidth="1"/>
    <col min="5" max="5" width="11.453125" style="1" customWidth="1"/>
    <col min="6" max="6" width="26.54296875" style="1" customWidth="1"/>
    <col min="7" max="7" width="27.08984375" style="1" customWidth="1"/>
    <col min="8" max="8" width="26.453125" style="1" customWidth="1"/>
    <col min="9" max="9" width="22" style="1" customWidth="1"/>
    <col min="10" max="10" width="24" style="1" bestFit="1" customWidth="1"/>
    <col min="11" max="11" width="19.26953125" style="1" customWidth="1"/>
    <col min="12" max="12" width="14.453125" style="1" customWidth="1"/>
    <col min="13" max="13" width="21.08984375" style="1" customWidth="1"/>
    <col min="14" max="16384" width="8.6328125" style="1"/>
  </cols>
  <sheetData>
    <row r="1" spans="2:13" ht="6.5" customHeight="1"/>
    <row r="2" spans="2:13">
      <c r="F2" s="79" t="s">
        <v>67</v>
      </c>
      <c r="G2" s="79"/>
      <c r="H2" s="6"/>
    </row>
    <row r="3" spans="2:13">
      <c r="B3" s="58" t="s">
        <v>2</v>
      </c>
      <c r="C3" s="7">
        <v>59.8</v>
      </c>
      <c r="D3" s="7" t="s">
        <v>3</v>
      </c>
      <c r="F3" s="58" t="s">
        <v>68</v>
      </c>
      <c r="G3" s="7"/>
      <c r="H3" s="7"/>
      <c r="J3" s="58" t="s">
        <v>197</v>
      </c>
      <c r="K3" s="7"/>
      <c r="L3" s="7"/>
    </row>
    <row r="4" spans="2:13">
      <c r="B4" s="58" t="s">
        <v>1</v>
      </c>
      <c r="C4" s="7">
        <v>561</v>
      </c>
      <c r="D4" s="7" t="s">
        <v>4</v>
      </c>
      <c r="F4" s="58" t="s">
        <v>99</v>
      </c>
      <c r="G4" s="7">
        <v>480</v>
      </c>
      <c r="H4" s="7" t="s">
        <v>72</v>
      </c>
      <c r="J4" s="7" t="s">
        <v>78</v>
      </c>
      <c r="K4" s="7">
        <v>53.42</v>
      </c>
      <c r="L4" s="7" t="s">
        <v>72</v>
      </c>
    </row>
    <row r="5" spans="2:13">
      <c r="B5" s="58" t="s">
        <v>0</v>
      </c>
      <c r="C5" s="7">
        <v>4.21</v>
      </c>
      <c r="D5" s="7" t="s">
        <v>5</v>
      </c>
      <c r="F5" s="58" t="s">
        <v>100</v>
      </c>
      <c r="G5" s="7">
        <v>640</v>
      </c>
      <c r="H5" s="7" t="s">
        <v>72</v>
      </c>
      <c r="J5" s="7" t="s">
        <v>79</v>
      </c>
      <c r="K5" s="7">
        <v>13.91</v>
      </c>
      <c r="L5" s="7" t="s">
        <v>77</v>
      </c>
    </row>
    <row r="6" spans="2:13">
      <c r="B6" s="58" t="s">
        <v>6</v>
      </c>
      <c r="C6" s="7">
        <v>75</v>
      </c>
      <c r="D6" s="7" t="s">
        <v>236</v>
      </c>
      <c r="F6" s="58" t="s">
        <v>75</v>
      </c>
      <c r="G6" s="7">
        <v>44.22</v>
      </c>
      <c r="H6" s="7" t="s">
        <v>72</v>
      </c>
    </row>
    <row r="7" spans="2:13">
      <c r="B7" s="58" t="s">
        <v>8</v>
      </c>
      <c r="C7" s="7">
        <v>585</v>
      </c>
      <c r="D7" s="7" t="s">
        <v>9</v>
      </c>
      <c r="F7" s="58" t="s">
        <v>76</v>
      </c>
      <c r="G7" s="7">
        <v>13.23</v>
      </c>
      <c r="H7" s="7" t="s">
        <v>77</v>
      </c>
    </row>
    <row r="9" spans="2:13">
      <c r="B9" s="60" t="s">
        <v>15</v>
      </c>
      <c r="C9" s="60" t="s">
        <v>6</v>
      </c>
      <c r="D9" s="60" t="s">
        <v>10</v>
      </c>
      <c r="E9" s="60" t="s">
        <v>7</v>
      </c>
      <c r="F9" s="60" t="s">
        <v>73</v>
      </c>
      <c r="G9" s="60" t="s">
        <v>74</v>
      </c>
      <c r="H9" s="60" t="s">
        <v>71</v>
      </c>
      <c r="I9" s="60" t="s">
        <v>70</v>
      </c>
      <c r="J9" s="60" t="s">
        <v>80</v>
      </c>
      <c r="K9" s="60" t="s">
        <v>81</v>
      </c>
    </row>
    <row r="10" spans="2:13">
      <c r="B10" s="13" t="s">
        <v>206</v>
      </c>
      <c r="C10" s="13">
        <v>0.75</v>
      </c>
      <c r="D10" s="28">
        <f>$C$4/(C10*$C$5)</f>
        <v>177.67220902612829</v>
      </c>
      <c r="E10" s="28">
        <f>D10*1000/$C$7</f>
        <v>303.71317782244154</v>
      </c>
      <c r="F10" s="28">
        <f>$G$4/$G$6</f>
        <v>10.854816824966079</v>
      </c>
      <c r="G10" s="28">
        <f>$G$5/$G$6</f>
        <v>14.473089099954771</v>
      </c>
      <c r="H10" s="13">
        <v>12</v>
      </c>
      <c r="I10" s="28">
        <f>E10/H10</f>
        <v>25.309431485203461</v>
      </c>
      <c r="J10" s="28">
        <f>H10*I10</f>
        <v>303.71317782244154</v>
      </c>
      <c r="K10" s="28">
        <f>(J10*$C$7)/1000</f>
        <v>177.67220902612829</v>
      </c>
    </row>
    <row r="13" spans="2:13">
      <c r="B13" s="59" t="s">
        <v>109</v>
      </c>
      <c r="C13" s="59" t="s">
        <v>102</v>
      </c>
      <c r="D13" s="59" t="s">
        <v>10</v>
      </c>
      <c r="E13" s="59" t="s">
        <v>80</v>
      </c>
      <c r="F13" s="59" t="s">
        <v>112</v>
      </c>
      <c r="G13" s="59" t="s">
        <v>104</v>
      </c>
      <c r="H13" s="59" t="s">
        <v>105</v>
      </c>
      <c r="I13" s="59" t="s">
        <v>106</v>
      </c>
      <c r="J13" s="59" t="s">
        <v>103</v>
      </c>
      <c r="K13" s="59" t="s">
        <v>107</v>
      </c>
      <c r="L13" s="59" t="s">
        <v>108</v>
      </c>
      <c r="M13" s="2"/>
    </row>
    <row r="14" spans="2:13">
      <c r="B14" s="11" t="s">
        <v>110</v>
      </c>
      <c r="C14" s="11">
        <v>3.21</v>
      </c>
      <c r="D14" s="11">
        <v>231</v>
      </c>
      <c r="E14" s="11">
        <v>395</v>
      </c>
      <c r="F14" s="10">
        <v>204765</v>
      </c>
      <c r="G14" s="10">
        <v>308736</v>
      </c>
      <c r="H14" s="10">
        <v>202467</v>
      </c>
      <c r="I14" s="10">
        <v>97355</v>
      </c>
      <c r="J14" s="11">
        <v>2299</v>
      </c>
      <c r="K14" s="20">
        <v>56.4</v>
      </c>
      <c r="L14" s="20">
        <v>98.9</v>
      </c>
    </row>
    <row r="15" spans="2:13">
      <c r="B15" s="11" t="s">
        <v>111</v>
      </c>
      <c r="C15" s="11">
        <v>4.21</v>
      </c>
      <c r="D15" s="11">
        <v>178</v>
      </c>
      <c r="E15" s="11">
        <v>304</v>
      </c>
      <c r="F15" s="10">
        <v>204765</v>
      </c>
      <c r="G15" s="10">
        <v>241630</v>
      </c>
      <c r="H15" s="10">
        <v>196780</v>
      </c>
      <c r="I15" s="10">
        <v>37436</v>
      </c>
      <c r="J15" s="11">
        <v>7987</v>
      </c>
      <c r="K15" s="20">
        <v>69.599999999999994</v>
      </c>
      <c r="L15" s="20">
        <v>96.1</v>
      </c>
    </row>
    <row r="32" spans="7:10">
      <c r="G32" s="80"/>
      <c r="H32" s="80"/>
      <c r="I32" s="80"/>
      <c r="J32" s="80"/>
    </row>
  </sheetData>
  <mergeCells count="2">
    <mergeCell ref="F2:G2"/>
    <mergeCell ref="G32:J32"/>
  </mergeCells>
  <phoneticPr fontId="3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991C9-1777-4C45-9CE7-8E3D5EE37F75}">
  <dimension ref="B1:P85"/>
  <sheetViews>
    <sheetView topLeftCell="A17" zoomScale="78" zoomScaleNormal="78" workbookViewId="0">
      <selection activeCell="C8" sqref="C8"/>
    </sheetView>
  </sheetViews>
  <sheetFormatPr defaultColWidth="8.6328125" defaultRowHeight="14.5"/>
  <cols>
    <col min="1" max="1" width="2.08984375" style="35" customWidth="1"/>
    <col min="2" max="2" width="19.453125" style="35" bestFit="1" customWidth="1"/>
    <col min="3" max="3" width="20.26953125" style="35" customWidth="1"/>
    <col min="4" max="4" width="14.08984375" style="35" customWidth="1"/>
    <col min="5" max="5" width="18.36328125" style="35" bestFit="1" customWidth="1"/>
    <col min="6" max="6" width="20.1796875" style="35" bestFit="1" customWidth="1"/>
    <col min="7" max="7" width="14.08984375" style="35" customWidth="1"/>
    <col min="8" max="8" width="15.81640625" style="35" bestFit="1" customWidth="1"/>
    <col min="9" max="9" width="12" style="35" bestFit="1" customWidth="1"/>
    <col min="10" max="10" width="10.54296875" style="35" bestFit="1" customWidth="1"/>
    <col min="11" max="11" width="10.453125" style="35" bestFit="1" customWidth="1"/>
    <col min="12" max="12" width="11.26953125" style="35" customWidth="1"/>
    <col min="13" max="13" width="12" style="35" customWidth="1"/>
    <col min="14" max="14" width="13.08984375" style="35" bestFit="1" customWidth="1"/>
    <col min="15" max="15" width="12.6328125" style="35" customWidth="1"/>
    <col min="16" max="16" width="18.08984375" style="35" customWidth="1"/>
    <col min="17" max="17" width="15.36328125" style="35" customWidth="1"/>
    <col min="18" max="18" width="8.6328125" style="35"/>
    <col min="19" max="19" width="17.453125" style="35" customWidth="1"/>
    <col min="20" max="20" width="21.1796875" style="35" customWidth="1"/>
    <col min="21" max="21" width="12.81640625" style="35" bestFit="1" customWidth="1"/>
    <col min="22" max="16384" width="8.6328125" style="35"/>
  </cols>
  <sheetData>
    <row r="1" spans="2:16" ht="7.5" customHeight="1"/>
    <row r="2" spans="2:16">
      <c r="B2" s="40" t="s">
        <v>61</v>
      </c>
      <c r="C2" s="41">
        <v>41699</v>
      </c>
      <c r="D2" s="45" t="s">
        <v>38</v>
      </c>
    </row>
    <row r="3" spans="2:16">
      <c r="B3" s="40" t="s">
        <v>59</v>
      </c>
      <c r="C3" s="41">
        <v>99000</v>
      </c>
      <c r="D3" s="45" t="s">
        <v>38</v>
      </c>
    </row>
    <row r="4" spans="2:16">
      <c r="B4" s="40" t="s">
        <v>57</v>
      </c>
      <c r="C4" s="57">
        <v>0.08</v>
      </c>
      <c r="D4" s="45"/>
    </row>
    <row r="5" spans="2:16">
      <c r="B5" s="40" t="s">
        <v>55</v>
      </c>
      <c r="C5" s="45">
        <v>0.2</v>
      </c>
      <c r="D5" s="45" t="s">
        <v>38</v>
      </c>
    </row>
    <row r="6" spans="2:16">
      <c r="B6" s="40" t="s">
        <v>53</v>
      </c>
      <c r="C6" s="41">
        <f>SUM(C2,C3,C7,C8,C9)</f>
        <v>152863.9</v>
      </c>
      <c r="D6" s="45" t="s">
        <v>38</v>
      </c>
      <c r="E6" s="36"/>
      <c r="F6" s="37"/>
    </row>
    <row r="7" spans="2:16">
      <c r="B7" s="40" t="s">
        <v>60</v>
      </c>
      <c r="C7" s="41">
        <v>1010</v>
      </c>
      <c r="D7" s="45" t="s">
        <v>38</v>
      </c>
      <c r="E7" s="36"/>
      <c r="F7" s="37"/>
    </row>
    <row r="8" spans="2:16">
      <c r="B8" s="40" t="s">
        <v>58</v>
      </c>
      <c r="C8" s="41">
        <v>6985</v>
      </c>
      <c r="D8" s="45" t="s">
        <v>38</v>
      </c>
      <c r="E8" s="36"/>
      <c r="F8" s="37"/>
    </row>
    <row r="9" spans="2:16">
      <c r="B9" s="40" t="s">
        <v>56</v>
      </c>
      <c r="C9" s="41">
        <f>C2*10%</f>
        <v>4169.9000000000005</v>
      </c>
      <c r="D9" s="45" t="s">
        <v>38</v>
      </c>
      <c r="E9" s="36"/>
      <c r="F9" s="37"/>
    </row>
    <row r="10" spans="2:16">
      <c r="B10" s="40" t="s">
        <v>54</v>
      </c>
      <c r="C10" s="41">
        <f>C6*5%</f>
        <v>7643.1949999999997</v>
      </c>
      <c r="D10" s="45" t="s">
        <v>38</v>
      </c>
      <c r="E10" s="36"/>
      <c r="F10" s="37"/>
    </row>
    <row r="11" spans="2:16">
      <c r="B11" s="40" t="s">
        <v>62</v>
      </c>
      <c r="C11" s="41">
        <f>(C3+(C3*5%))</f>
        <v>103950</v>
      </c>
      <c r="D11" s="45" t="s">
        <v>38</v>
      </c>
      <c r="E11" s="36"/>
      <c r="F11" s="37"/>
    </row>
    <row r="12" spans="2:16">
      <c r="B12" s="40" t="s">
        <v>101</v>
      </c>
      <c r="C12" s="41">
        <f>C8+(C8*5%)</f>
        <v>7334.25</v>
      </c>
      <c r="D12" s="45"/>
      <c r="E12" s="36"/>
      <c r="F12" s="37"/>
    </row>
    <row r="13" spans="2:16">
      <c r="B13" s="40" t="s">
        <v>155</v>
      </c>
      <c r="C13" s="41">
        <v>97381</v>
      </c>
      <c r="D13" s="45" t="s">
        <v>154</v>
      </c>
      <c r="E13" s="36"/>
      <c r="F13" s="37"/>
    </row>
    <row r="14" spans="2:16">
      <c r="I14" s="79" t="s">
        <v>146</v>
      </c>
      <c r="J14" s="79"/>
      <c r="K14" s="79"/>
      <c r="L14" s="79"/>
      <c r="M14" s="79"/>
      <c r="N14" s="79"/>
      <c r="O14" s="79" t="s">
        <v>147</v>
      </c>
      <c r="P14" s="79"/>
    </row>
    <row r="15" spans="2:16" ht="29">
      <c r="B15" s="42" t="s">
        <v>52</v>
      </c>
      <c r="C15" s="55" t="s">
        <v>51</v>
      </c>
      <c r="D15" s="55" t="s">
        <v>49</v>
      </c>
      <c r="E15" s="55" t="s">
        <v>151</v>
      </c>
      <c r="F15" s="55" t="s">
        <v>150</v>
      </c>
      <c r="G15" s="55" t="s">
        <v>149</v>
      </c>
      <c r="H15" s="55" t="s">
        <v>152</v>
      </c>
      <c r="I15" s="55" t="s">
        <v>50</v>
      </c>
      <c r="J15" s="55" t="s">
        <v>49</v>
      </c>
      <c r="K15" s="55" t="s">
        <v>48</v>
      </c>
      <c r="L15" s="55" t="s">
        <v>47</v>
      </c>
      <c r="M15" s="55" t="s">
        <v>46</v>
      </c>
      <c r="N15" s="55" t="s">
        <v>45</v>
      </c>
      <c r="O15" s="55" t="s">
        <v>44</v>
      </c>
      <c r="P15" s="55" t="s">
        <v>40</v>
      </c>
    </row>
    <row r="16" spans="2:16">
      <c r="B16" s="56">
        <v>0</v>
      </c>
      <c r="C16" s="41">
        <f>C6</f>
        <v>152863.9</v>
      </c>
      <c r="D16" s="45"/>
      <c r="E16" s="45"/>
      <c r="F16" s="45"/>
      <c r="G16" s="45"/>
      <c r="H16" s="45"/>
      <c r="I16" s="50">
        <f t="shared" ref="I16:I41" si="0">C16/(1+$C$4)^B16</f>
        <v>152863.9</v>
      </c>
      <c r="J16" s="45">
        <f t="shared" ref="J16:J41" si="1">D16/(1+$C$4)^B16</f>
        <v>0</v>
      </c>
      <c r="K16" s="45">
        <f t="shared" ref="K16:K41" si="2">E16/(1+$C$4)^B16</f>
        <v>0</v>
      </c>
      <c r="L16" s="45">
        <f>F16/(1+$C$4)^D16</f>
        <v>0</v>
      </c>
      <c r="M16" s="45">
        <f>G16/(1+$C$4)^E16</f>
        <v>0</v>
      </c>
      <c r="N16" s="45">
        <f t="shared" ref="N16:N41" si="3">H16/(1+$C$4)^B16</f>
        <v>0</v>
      </c>
      <c r="O16" s="45"/>
      <c r="P16" s="45"/>
    </row>
    <row r="17" spans="2:16">
      <c r="B17" s="56">
        <v>1</v>
      </c>
      <c r="C17" s="45"/>
      <c r="D17" s="51">
        <f>C16*0.05</f>
        <v>7643.1949999999997</v>
      </c>
      <c r="E17" s="45"/>
      <c r="F17" s="45"/>
      <c r="G17" s="45"/>
      <c r="H17" s="52">
        <v>202467</v>
      </c>
      <c r="I17" s="45">
        <f t="shared" si="0"/>
        <v>0</v>
      </c>
      <c r="J17" s="41">
        <f t="shared" si="1"/>
        <v>7077.0324074074069</v>
      </c>
      <c r="K17" s="45">
        <f t="shared" si="2"/>
        <v>0</v>
      </c>
      <c r="L17" s="45"/>
      <c r="M17" s="45"/>
      <c r="N17" s="41">
        <f t="shared" si="3"/>
        <v>187469.44444444444</v>
      </c>
      <c r="O17" s="53">
        <f t="shared" ref="O17:O41" si="4">H17*$C$5</f>
        <v>40493.4</v>
      </c>
      <c r="P17" s="41">
        <f t="shared" ref="P17:P41" si="5">O17/(1+$C$4)^B17</f>
        <v>37493.888888888891</v>
      </c>
    </row>
    <row r="18" spans="2:16">
      <c r="B18" s="56">
        <v>2</v>
      </c>
      <c r="C18" s="45"/>
      <c r="D18" s="51">
        <f>C10</f>
        <v>7643.1949999999997</v>
      </c>
      <c r="E18" s="45"/>
      <c r="F18" s="45"/>
      <c r="G18" s="45"/>
      <c r="H18" s="52">
        <v>202467</v>
      </c>
      <c r="I18" s="45">
        <f t="shared" si="0"/>
        <v>0</v>
      </c>
      <c r="J18" s="41">
        <f t="shared" si="1"/>
        <v>6552.8077846364877</v>
      </c>
      <c r="K18" s="45">
        <f t="shared" si="2"/>
        <v>0</v>
      </c>
      <c r="L18" s="45"/>
      <c r="M18" s="45"/>
      <c r="N18" s="41">
        <f t="shared" si="3"/>
        <v>173582.81893004113</v>
      </c>
      <c r="O18" s="53">
        <f t="shared" si="4"/>
        <v>40493.4</v>
      </c>
      <c r="P18" s="41">
        <f t="shared" si="5"/>
        <v>34716.563786008228</v>
      </c>
    </row>
    <row r="19" spans="2:16">
      <c r="B19" s="56">
        <v>3</v>
      </c>
      <c r="C19" s="45"/>
      <c r="D19" s="51">
        <f>C10</f>
        <v>7643.1949999999997</v>
      </c>
      <c r="E19" s="45"/>
      <c r="F19" s="45"/>
      <c r="G19" s="45"/>
      <c r="H19" s="52">
        <v>202467</v>
      </c>
      <c r="I19" s="45">
        <f t="shared" si="0"/>
        <v>0</v>
      </c>
      <c r="J19" s="41">
        <f t="shared" si="1"/>
        <v>6067.4146154041546</v>
      </c>
      <c r="K19" s="45">
        <f t="shared" si="2"/>
        <v>0</v>
      </c>
      <c r="L19" s="45"/>
      <c r="M19" s="45"/>
      <c r="N19" s="41">
        <f t="shared" si="3"/>
        <v>160724.83234263069</v>
      </c>
      <c r="O19" s="53">
        <f t="shared" si="4"/>
        <v>40493.4</v>
      </c>
      <c r="P19" s="41">
        <f t="shared" si="5"/>
        <v>32144.966468526138</v>
      </c>
    </row>
    <row r="20" spans="2:16">
      <c r="B20" s="56">
        <v>4</v>
      </c>
      <c r="C20" s="45"/>
      <c r="D20" s="51">
        <f>C10</f>
        <v>7643.1949999999997</v>
      </c>
      <c r="E20" s="45"/>
      <c r="F20" s="45"/>
      <c r="G20" s="45"/>
      <c r="H20" s="52">
        <v>202467</v>
      </c>
      <c r="I20" s="45">
        <f t="shared" si="0"/>
        <v>0</v>
      </c>
      <c r="J20" s="41">
        <f t="shared" si="1"/>
        <v>5617.9764957445877</v>
      </c>
      <c r="K20" s="45">
        <f t="shared" si="2"/>
        <v>0</v>
      </c>
      <c r="L20" s="45"/>
      <c r="M20" s="45"/>
      <c r="N20" s="41">
        <f t="shared" si="3"/>
        <v>148819.28920613951</v>
      </c>
      <c r="O20" s="53">
        <f t="shared" si="4"/>
        <v>40493.4</v>
      </c>
      <c r="P20" s="41">
        <f t="shared" si="5"/>
        <v>29763.857841227902</v>
      </c>
    </row>
    <row r="21" spans="2:16">
      <c r="B21" s="56">
        <v>5</v>
      </c>
      <c r="C21" s="45"/>
      <c r="D21" s="51">
        <f>C10</f>
        <v>7643.1949999999997</v>
      </c>
      <c r="E21" s="45"/>
      <c r="F21" s="45"/>
      <c r="G21" s="45"/>
      <c r="H21" s="52">
        <v>202467</v>
      </c>
      <c r="I21" s="45">
        <f t="shared" si="0"/>
        <v>0</v>
      </c>
      <c r="J21" s="41">
        <f t="shared" si="1"/>
        <v>5201.8300886523957</v>
      </c>
      <c r="K21" s="45">
        <f t="shared" si="2"/>
        <v>0</v>
      </c>
      <c r="L21" s="45"/>
      <c r="M21" s="45"/>
      <c r="N21" s="41">
        <f t="shared" si="3"/>
        <v>137795.63815383287</v>
      </c>
      <c r="O21" s="53">
        <f t="shared" si="4"/>
        <v>40493.4</v>
      </c>
      <c r="P21" s="41">
        <f t="shared" si="5"/>
        <v>27559.127630766576</v>
      </c>
    </row>
    <row r="22" spans="2:16">
      <c r="B22" s="56">
        <v>6</v>
      </c>
      <c r="C22" s="45"/>
      <c r="D22" s="51">
        <f>C10</f>
        <v>7643.1949999999997</v>
      </c>
      <c r="E22" s="45"/>
      <c r="F22" s="45"/>
      <c r="G22" s="45"/>
      <c r="H22" s="52">
        <v>202467</v>
      </c>
      <c r="I22" s="45">
        <f t="shared" si="0"/>
        <v>0</v>
      </c>
      <c r="J22" s="41">
        <f t="shared" si="1"/>
        <v>4816.5093413448103</v>
      </c>
      <c r="K22" s="45">
        <f t="shared" si="2"/>
        <v>0</v>
      </c>
      <c r="L22" s="45"/>
      <c r="M22" s="45"/>
      <c r="N22" s="41">
        <f t="shared" si="3"/>
        <v>127588.55384614153</v>
      </c>
      <c r="O22" s="53">
        <f t="shared" si="4"/>
        <v>40493.4</v>
      </c>
      <c r="P22" s="41">
        <f t="shared" si="5"/>
        <v>25517.710769228306</v>
      </c>
    </row>
    <row r="23" spans="2:16">
      <c r="B23" s="56">
        <v>7</v>
      </c>
      <c r="C23" s="45"/>
      <c r="D23" s="51">
        <f>C10</f>
        <v>7643.1949999999997</v>
      </c>
      <c r="E23" s="45"/>
      <c r="F23" s="45"/>
      <c r="G23" s="45"/>
      <c r="H23" s="52">
        <v>202467</v>
      </c>
      <c r="I23" s="45">
        <f t="shared" si="0"/>
        <v>0</v>
      </c>
      <c r="J23" s="41">
        <f t="shared" si="1"/>
        <v>4459.7308716155649</v>
      </c>
      <c r="K23" s="45">
        <f t="shared" si="2"/>
        <v>0</v>
      </c>
      <c r="L23" s="45"/>
      <c r="M23" s="45"/>
      <c r="N23" s="41">
        <f t="shared" si="3"/>
        <v>118137.54985753846</v>
      </c>
      <c r="O23" s="53">
        <f t="shared" si="4"/>
        <v>40493.4</v>
      </c>
      <c r="P23" s="41">
        <f t="shared" si="5"/>
        <v>23627.50997150769</v>
      </c>
    </row>
    <row r="24" spans="2:16">
      <c r="B24" s="56">
        <v>8</v>
      </c>
      <c r="C24" s="45"/>
      <c r="D24" s="51">
        <f>C10</f>
        <v>7643.1949999999997</v>
      </c>
      <c r="E24" s="45"/>
      <c r="F24" s="45"/>
      <c r="G24" s="45"/>
      <c r="H24" s="52">
        <v>202467</v>
      </c>
      <c r="I24" s="45">
        <f t="shared" si="0"/>
        <v>0</v>
      </c>
      <c r="J24" s="41">
        <f t="shared" si="1"/>
        <v>4129.3804366810782</v>
      </c>
      <c r="K24" s="45">
        <f t="shared" si="2"/>
        <v>0</v>
      </c>
      <c r="L24" s="45"/>
      <c r="M24" s="45"/>
      <c r="N24" s="41">
        <f t="shared" si="3"/>
        <v>109386.62023846153</v>
      </c>
      <c r="O24" s="53">
        <f t="shared" si="4"/>
        <v>40493.4</v>
      </c>
      <c r="P24" s="41">
        <f t="shared" si="5"/>
        <v>21877.324047692306</v>
      </c>
    </row>
    <row r="25" spans="2:16">
      <c r="B25" s="56">
        <v>9</v>
      </c>
      <c r="C25" s="45"/>
      <c r="D25" s="51">
        <f>C10</f>
        <v>7643.1949999999997</v>
      </c>
      <c r="E25" s="45"/>
      <c r="F25" s="45"/>
      <c r="G25" s="45"/>
      <c r="H25" s="52">
        <v>202467</v>
      </c>
      <c r="I25" s="45">
        <f t="shared" si="0"/>
        <v>0</v>
      </c>
      <c r="J25" s="41">
        <f t="shared" si="1"/>
        <v>3823.5004043343315</v>
      </c>
      <c r="K25" s="45">
        <f t="shared" si="2"/>
        <v>0</v>
      </c>
      <c r="L25" s="45"/>
      <c r="M25" s="45"/>
      <c r="N25" s="41">
        <f t="shared" si="3"/>
        <v>101283.90762820511</v>
      </c>
      <c r="O25" s="53">
        <f t="shared" si="4"/>
        <v>40493.4</v>
      </c>
      <c r="P25" s="41">
        <f t="shared" si="5"/>
        <v>20256.781525641021</v>
      </c>
    </row>
    <row r="26" spans="2:16">
      <c r="B26" s="56">
        <v>10</v>
      </c>
      <c r="C26" s="45"/>
      <c r="D26" s="51">
        <f>C10</f>
        <v>7643.1949999999997</v>
      </c>
      <c r="E26" s="45"/>
      <c r="F26" s="45"/>
      <c r="G26" s="45"/>
      <c r="H26" s="52">
        <v>202467</v>
      </c>
      <c r="I26" s="45">
        <f t="shared" si="0"/>
        <v>0</v>
      </c>
      <c r="J26" s="41">
        <f t="shared" si="1"/>
        <v>3540.2781521614183</v>
      </c>
      <c r="K26" s="45">
        <f t="shared" si="2"/>
        <v>0</v>
      </c>
      <c r="L26" s="45"/>
      <c r="M26" s="45"/>
      <c r="N26" s="41">
        <f t="shared" si="3"/>
        <v>93781.39595204177</v>
      </c>
      <c r="O26" s="53">
        <f t="shared" si="4"/>
        <v>40493.4</v>
      </c>
      <c r="P26" s="41">
        <f t="shared" si="5"/>
        <v>18756.279190408353</v>
      </c>
    </row>
    <row r="27" spans="2:16">
      <c r="B27" s="56">
        <v>11</v>
      </c>
      <c r="C27" s="45"/>
      <c r="D27" s="51">
        <f>C10</f>
        <v>7643.1949999999997</v>
      </c>
      <c r="E27" s="45"/>
      <c r="F27" s="45"/>
      <c r="G27" s="45"/>
      <c r="H27" s="52">
        <v>202467</v>
      </c>
      <c r="I27" s="45">
        <f t="shared" si="0"/>
        <v>0</v>
      </c>
      <c r="J27" s="41">
        <f t="shared" si="1"/>
        <v>3278.0353260753873</v>
      </c>
      <c r="K27" s="45">
        <f t="shared" si="2"/>
        <v>0</v>
      </c>
      <c r="L27" s="45"/>
      <c r="M27" s="45"/>
      <c r="N27" s="41">
        <f t="shared" si="3"/>
        <v>86834.625881520158</v>
      </c>
      <c r="O27" s="53">
        <f t="shared" si="4"/>
        <v>40493.4</v>
      </c>
      <c r="P27" s="41">
        <f t="shared" si="5"/>
        <v>17366.92517630403</v>
      </c>
    </row>
    <row r="28" spans="2:16">
      <c r="B28" s="56">
        <v>12</v>
      </c>
      <c r="C28" s="45"/>
      <c r="D28" s="51">
        <f>C10</f>
        <v>7643.1949999999997</v>
      </c>
      <c r="E28" s="45"/>
      <c r="F28" s="45"/>
      <c r="G28" s="45"/>
      <c r="H28" s="52">
        <v>202467</v>
      </c>
      <c r="I28" s="45">
        <f t="shared" si="0"/>
        <v>0</v>
      </c>
      <c r="J28" s="41">
        <f t="shared" si="1"/>
        <v>3035.2178945142473</v>
      </c>
      <c r="K28" s="45">
        <f t="shared" si="2"/>
        <v>0</v>
      </c>
      <c r="L28" s="45"/>
      <c r="M28" s="45"/>
      <c r="N28" s="41">
        <f t="shared" si="3"/>
        <v>80402.431371777915</v>
      </c>
      <c r="O28" s="53">
        <f t="shared" si="4"/>
        <v>40493.4</v>
      </c>
      <c r="P28" s="41">
        <f t="shared" si="5"/>
        <v>16080.486274355584</v>
      </c>
    </row>
    <row r="29" spans="2:16">
      <c r="B29" s="56">
        <v>13</v>
      </c>
      <c r="C29" s="45"/>
      <c r="D29" s="51">
        <f>C10</f>
        <v>7643.1949999999997</v>
      </c>
      <c r="E29" s="45"/>
      <c r="F29" s="45"/>
      <c r="G29" s="45"/>
      <c r="H29" s="52">
        <v>202467</v>
      </c>
      <c r="I29" s="45">
        <f t="shared" si="0"/>
        <v>0</v>
      </c>
      <c r="J29" s="41">
        <f t="shared" si="1"/>
        <v>2810.3869393650439</v>
      </c>
      <c r="K29" s="45">
        <f t="shared" si="2"/>
        <v>0</v>
      </c>
      <c r="L29" s="45"/>
      <c r="M29" s="45"/>
      <c r="N29" s="41">
        <f t="shared" si="3"/>
        <v>74446.695714609174</v>
      </c>
      <c r="O29" s="53">
        <f t="shared" si="4"/>
        <v>40493.4</v>
      </c>
      <c r="P29" s="41">
        <f t="shared" si="5"/>
        <v>14889.339142921837</v>
      </c>
    </row>
    <row r="30" spans="2:16">
      <c r="B30" s="56">
        <v>14</v>
      </c>
      <c r="C30" s="45"/>
      <c r="D30" s="51">
        <f>C10</f>
        <v>7643.1949999999997</v>
      </c>
      <c r="E30" s="45"/>
      <c r="F30" s="45"/>
      <c r="G30" s="45"/>
      <c r="H30" s="52">
        <v>202467</v>
      </c>
      <c r="I30" s="45">
        <f t="shared" si="0"/>
        <v>0</v>
      </c>
      <c r="J30" s="41">
        <f t="shared" si="1"/>
        <v>2602.2101290417068</v>
      </c>
      <c r="K30" s="45">
        <f t="shared" si="2"/>
        <v>0</v>
      </c>
      <c r="L30" s="45"/>
      <c r="M30" s="45"/>
      <c r="N30" s="41">
        <f t="shared" si="3"/>
        <v>68932.125661675149</v>
      </c>
      <c r="O30" s="53">
        <f t="shared" si="4"/>
        <v>40493.4</v>
      </c>
      <c r="P30" s="41">
        <f t="shared" si="5"/>
        <v>13786.425132335031</v>
      </c>
    </row>
    <row r="31" spans="2:16">
      <c r="B31" s="56">
        <v>15</v>
      </c>
      <c r="C31" s="45"/>
      <c r="D31" s="51">
        <f>C10</f>
        <v>7643.1949999999997</v>
      </c>
      <c r="E31" s="45"/>
      <c r="F31" s="45"/>
      <c r="G31" s="45"/>
      <c r="H31" s="52">
        <v>202467</v>
      </c>
      <c r="I31" s="45">
        <f t="shared" si="0"/>
        <v>0</v>
      </c>
      <c r="J31" s="41">
        <f t="shared" si="1"/>
        <v>2409.453823186765</v>
      </c>
      <c r="K31" s="45">
        <f t="shared" si="2"/>
        <v>0</v>
      </c>
      <c r="L31" s="45"/>
      <c r="M31" s="45"/>
      <c r="N31" s="41">
        <f t="shared" si="3"/>
        <v>63826.042279328845</v>
      </c>
      <c r="O31" s="53">
        <f t="shared" si="4"/>
        <v>40493.4</v>
      </c>
      <c r="P31" s="41">
        <f t="shared" si="5"/>
        <v>12765.208455865768</v>
      </c>
    </row>
    <row r="32" spans="2:16">
      <c r="B32" s="56">
        <v>16</v>
      </c>
      <c r="C32" s="45"/>
      <c r="D32" s="51">
        <f>C10</f>
        <v>7643.1949999999997</v>
      </c>
      <c r="E32" s="41">
        <f>C11+C12</f>
        <v>111284.25</v>
      </c>
      <c r="F32" s="45"/>
      <c r="G32" s="45"/>
      <c r="H32" s="52">
        <v>202467</v>
      </c>
      <c r="I32" s="45">
        <f t="shared" si="0"/>
        <v>0</v>
      </c>
      <c r="J32" s="41">
        <f t="shared" si="1"/>
        <v>2230.9757622099678</v>
      </c>
      <c r="K32" s="41">
        <f t="shared" si="2"/>
        <v>32482.81176467624</v>
      </c>
      <c r="L32" s="45"/>
      <c r="M32" s="45"/>
      <c r="N32" s="41">
        <f t="shared" si="3"/>
        <v>59098.187295674856</v>
      </c>
      <c r="O32" s="53">
        <f t="shared" si="4"/>
        <v>40493.4</v>
      </c>
      <c r="P32" s="41">
        <f t="shared" si="5"/>
        <v>11819.637459134972</v>
      </c>
    </row>
    <row r="33" spans="2:16">
      <c r="B33" s="56">
        <v>17</v>
      </c>
      <c r="C33" s="45"/>
      <c r="D33" s="51">
        <f>C10</f>
        <v>7643.1949999999997</v>
      </c>
      <c r="E33" s="45"/>
      <c r="F33" s="45"/>
      <c r="G33" s="45"/>
      <c r="H33" s="52">
        <v>202467</v>
      </c>
      <c r="I33" s="45">
        <f t="shared" si="0"/>
        <v>0</v>
      </c>
      <c r="J33" s="41">
        <f t="shared" si="1"/>
        <v>2065.7182983425628</v>
      </c>
      <c r="K33" s="45">
        <f t="shared" si="2"/>
        <v>0</v>
      </c>
      <c r="L33" s="45"/>
      <c r="M33" s="45"/>
      <c r="N33" s="41">
        <f t="shared" si="3"/>
        <v>54720.54379229153</v>
      </c>
      <c r="O33" s="53">
        <f t="shared" si="4"/>
        <v>40493.4</v>
      </c>
      <c r="P33" s="41">
        <f t="shared" si="5"/>
        <v>10944.108758458307</v>
      </c>
    </row>
    <row r="34" spans="2:16">
      <c r="B34" s="56">
        <v>18</v>
      </c>
      <c r="C34" s="45"/>
      <c r="D34" s="51">
        <f>C10</f>
        <v>7643.1949999999997</v>
      </c>
      <c r="E34" s="45"/>
      <c r="F34" s="45"/>
      <c r="G34" s="45"/>
      <c r="H34" s="52">
        <v>202467</v>
      </c>
      <c r="I34" s="45">
        <f t="shared" si="0"/>
        <v>0</v>
      </c>
      <c r="J34" s="41">
        <f t="shared" si="1"/>
        <v>1912.7021280949652</v>
      </c>
      <c r="K34" s="45">
        <f t="shared" si="2"/>
        <v>0</v>
      </c>
      <c r="L34" s="45"/>
      <c r="M34" s="45"/>
      <c r="N34" s="41">
        <f t="shared" si="3"/>
        <v>50667.170178047709</v>
      </c>
      <c r="O34" s="53">
        <f t="shared" si="4"/>
        <v>40493.4</v>
      </c>
      <c r="P34" s="41">
        <f t="shared" si="5"/>
        <v>10133.434035609542</v>
      </c>
    </row>
    <row r="35" spans="2:16">
      <c r="B35" s="56">
        <v>19</v>
      </c>
      <c r="C35" s="45"/>
      <c r="D35" s="51">
        <f>C10</f>
        <v>7643.1949999999997</v>
      </c>
      <c r="E35" s="45"/>
      <c r="F35" s="45"/>
      <c r="G35" s="45"/>
      <c r="H35" s="52">
        <v>202467</v>
      </c>
      <c r="I35" s="45">
        <f t="shared" si="0"/>
        <v>0</v>
      </c>
      <c r="J35" s="41">
        <f t="shared" si="1"/>
        <v>1771.0204889768197</v>
      </c>
      <c r="K35" s="45">
        <f t="shared" si="2"/>
        <v>0</v>
      </c>
      <c r="L35" s="45"/>
      <c r="M35" s="45"/>
      <c r="N35" s="41">
        <f t="shared" si="3"/>
        <v>46914.046461155282</v>
      </c>
      <c r="O35" s="53">
        <f t="shared" si="4"/>
        <v>40493.4</v>
      </c>
      <c r="P35" s="41">
        <f t="shared" si="5"/>
        <v>9382.809292231057</v>
      </c>
    </row>
    <row r="36" spans="2:16">
      <c r="B36" s="56">
        <v>20</v>
      </c>
      <c r="C36" s="45"/>
      <c r="D36" s="51">
        <f>C10</f>
        <v>7643.1949999999997</v>
      </c>
      <c r="E36" s="45"/>
      <c r="F36" s="45"/>
      <c r="G36" s="45"/>
      <c r="H36" s="52">
        <v>202467</v>
      </c>
      <c r="I36" s="45">
        <f t="shared" si="0"/>
        <v>0</v>
      </c>
      <c r="J36" s="41">
        <f t="shared" si="1"/>
        <v>1639.8337860896479</v>
      </c>
      <c r="K36" s="45">
        <f t="shared" si="2"/>
        <v>0</v>
      </c>
      <c r="L36" s="45"/>
      <c r="M36" s="45"/>
      <c r="N36" s="41">
        <f t="shared" si="3"/>
        <v>43438.931908477112</v>
      </c>
      <c r="O36" s="53">
        <f t="shared" si="4"/>
        <v>40493.4</v>
      </c>
      <c r="P36" s="41">
        <f t="shared" si="5"/>
        <v>8687.7863816954232</v>
      </c>
    </row>
    <row r="37" spans="2:16">
      <c r="B37" s="56">
        <v>21</v>
      </c>
      <c r="C37" s="45"/>
      <c r="D37" s="51">
        <f>C10</f>
        <v>7643.1949999999997</v>
      </c>
      <c r="E37" s="45"/>
      <c r="F37" s="45"/>
      <c r="G37" s="45"/>
      <c r="H37" s="52">
        <v>202467</v>
      </c>
      <c r="I37" s="45">
        <f t="shared" si="0"/>
        <v>0</v>
      </c>
      <c r="J37" s="41">
        <f t="shared" si="1"/>
        <v>1518.3646167496738</v>
      </c>
      <c r="K37" s="45">
        <f t="shared" si="2"/>
        <v>0</v>
      </c>
      <c r="L37" s="45"/>
      <c r="M37" s="45"/>
      <c r="N37" s="41">
        <f t="shared" si="3"/>
        <v>40221.233248589917</v>
      </c>
      <c r="O37" s="53">
        <f t="shared" si="4"/>
        <v>40493.4</v>
      </c>
      <c r="P37" s="41">
        <f t="shared" si="5"/>
        <v>8044.2466497179839</v>
      </c>
    </row>
    <row r="38" spans="2:16">
      <c r="B38" s="56">
        <v>22</v>
      </c>
      <c r="C38" s="45"/>
      <c r="D38" s="51">
        <f>C10</f>
        <v>7643.1949999999997</v>
      </c>
      <c r="E38" s="45"/>
      <c r="F38" s="45"/>
      <c r="G38" s="45"/>
      <c r="H38" s="52">
        <v>202467</v>
      </c>
      <c r="I38" s="45">
        <f t="shared" si="0"/>
        <v>0</v>
      </c>
      <c r="J38" s="41">
        <f t="shared" si="1"/>
        <v>1405.8931636571053</v>
      </c>
      <c r="K38" s="45">
        <f t="shared" si="2"/>
        <v>0</v>
      </c>
      <c r="L38" s="45"/>
      <c r="M38" s="45"/>
      <c r="N38" s="41">
        <f t="shared" si="3"/>
        <v>37241.88263758325</v>
      </c>
      <c r="O38" s="53">
        <f t="shared" si="4"/>
        <v>40493.4</v>
      </c>
      <c r="P38" s="41">
        <f t="shared" si="5"/>
        <v>7448.3765275166506</v>
      </c>
    </row>
    <row r="39" spans="2:16">
      <c r="B39" s="56">
        <v>23</v>
      </c>
      <c r="C39" s="45"/>
      <c r="D39" s="51">
        <f>C10</f>
        <v>7643.1949999999997</v>
      </c>
      <c r="E39" s="45"/>
      <c r="F39" s="45"/>
      <c r="G39" s="45"/>
      <c r="H39" s="52">
        <v>202467</v>
      </c>
      <c r="I39" s="45">
        <f t="shared" si="0"/>
        <v>0</v>
      </c>
      <c r="J39" s="41">
        <f t="shared" si="1"/>
        <v>1301.7529293121345</v>
      </c>
      <c r="K39" s="45">
        <f t="shared" si="2"/>
        <v>0</v>
      </c>
      <c r="L39" s="45"/>
      <c r="M39" s="45"/>
      <c r="N39" s="41">
        <f t="shared" si="3"/>
        <v>34483.224664428941</v>
      </c>
      <c r="O39" s="53">
        <f t="shared" si="4"/>
        <v>40493.4</v>
      </c>
      <c r="P39" s="41">
        <f t="shared" si="5"/>
        <v>6896.644932885788</v>
      </c>
    </row>
    <row r="40" spans="2:16">
      <c r="B40" s="56">
        <v>24</v>
      </c>
      <c r="C40" s="45"/>
      <c r="D40" s="51">
        <f>C10</f>
        <v>7643.1949999999997</v>
      </c>
      <c r="E40" s="45"/>
      <c r="F40" s="45"/>
      <c r="G40" s="45"/>
      <c r="H40" s="52">
        <v>202467</v>
      </c>
      <c r="I40" s="45">
        <f t="shared" si="0"/>
        <v>0</v>
      </c>
      <c r="J40" s="41">
        <f t="shared" si="1"/>
        <v>1205.3267864001245</v>
      </c>
      <c r="K40" s="45">
        <f t="shared" si="2"/>
        <v>0</v>
      </c>
      <c r="L40" s="45"/>
      <c r="M40" s="45"/>
      <c r="N40" s="41">
        <f t="shared" si="3"/>
        <v>31928.911726323091</v>
      </c>
      <c r="O40" s="53">
        <f t="shared" si="4"/>
        <v>40493.4</v>
      </c>
      <c r="P40" s="41">
        <f t="shared" si="5"/>
        <v>6385.782345264618</v>
      </c>
    </row>
    <row r="41" spans="2:16">
      <c r="B41" s="56">
        <v>25</v>
      </c>
      <c r="C41" s="45"/>
      <c r="D41" s="51">
        <f>C10</f>
        <v>7643.1949999999997</v>
      </c>
      <c r="E41" s="45"/>
      <c r="F41" s="45"/>
      <c r="G41" s="45"/>
      <c r="H41" s="52">
        <v>202467</v>
      </c>
      <c r="I41" s="45">
        <f t="shared" si="0"/>
        <v>0</v>
      </c>
      <c r="J41" s="41">
        <f t="shared" si="1"/>
        <v>1116.043320740856</v>
      </c>
      <c r="K41" s="45">
        <f t="shared" si="2"/>
        <v>0</v>
      </c>
      <c r="L41" s="45"/>
      <c r="M41" s="45"/>
      <c r="N41" s="41">
        <f t="shared" si="3"/>
        <v>29563.807154002858</v>
      </c>
      <c r="O41" s="53">
        <f t="shared" si="4"/>
        <v>40493.4</v>
      </c>
      <c r="P41" s="41">
        <f t="shared" si="5"/>
        <v>5912.7614308005714</v>
      </c>
    </row>
    <row r="42" spans="2:16">
      <c r="I42" s="39">
        <f>SUM(I16:I41)</f>
        <v>152863.9</v>
      </c>
      <c r="J42" s="39">
        <f>SUM(J16:J41)</f>
        <v>81589.395990739242</v>
      </c>
      <c r="K42" s="39">
        <f>SUM(K16:K41)</f>
        <v>32482.81176467624</v>
      </c>
      <c r="N42" s="54">
        <f>SUM(N16:N41)</f>
        <v>2161289.9105749629</v>
      </c>
      <c r="P42" s="39">
        <f>SUM(P17:P41)</f>
        <v>432257.98211499245</v>
      </c>
    </row>
    <row r="43" spans="2:16">
      <c r="B43" s="45" t="s">
        <v>43</v>
      </c>
      <c r="C43" s="41">
        <f>SUM(I42:K42)/N42</f>
        <v>0.12350777489374533</v>
      </c>
      <c r="D43" s="45" t="s">
        <v>42</v>
      </c>
    </row>
    <row r="44" spans="2:16">
      <c r="B44" s="45" t="s">
        <v>41</v>
      </c>
      <c r="C44" s="41">
        <f>SUM(I42:K42)</f>
        <v>266936.10775541549</v>
      </c>
      <c r="D44" s="45" t="s">
        <v>38</v>
      </c>
    </row>
    <row r="45" spans="2:16">
      <c r="B45" s="45" t="s">
        <v>40</v>
      </c>
      <c r="C45" s="41">
        <f>P42</f>
        <v>432257.98211499245</v>
      </c>
      <c r="D45" s="45" t="s">
        <v>38</v>
      </c>
    </row>
    <row r="46" spans="2:16">
      <c r="B46" s="45" t="s">
        <v>39</v>
      </c>
      <c r="C46" s="41">
        <f>C45-C44</f>
        <v>165321.87435957696</v>
      </c>
      <c r="D46" s="45" t="s">
        <v>38</v>
      </c>
    </row>
    <row r="47" spans="2:16">
      <c r="B47" s="45" t="s">
        <v>37</v>
      </c>
      <c r="C47" s="41">
        <v>20.5</v>
      </c>
      <c r="D47" s="49" t="s">
        <v>12</v>
      </c>
    </row>
    <row r="48" spans="2:16">
      <c r="B48" s="45" t="s">
        <v>36</v>
      </c>
      <c r="C48" s="41">
        <f>I16/O17</f>
        <v>3.7750324744279311</v>
      </c>
      <c r="D48" s="45" t="s">
        <v>35</v>
      </c>
    </row>
    <row r="51" spans="2:4" ht="29">
      <c r="B51" s="38" t="s">
        <v>193</v>
      </c>
    </row>
    <row r="52" spans="2:4">
      <c r="B52" s="43" t="s">
        <v>156</v>
      </c>
      <c r="C52" s="43" t="s">
        <v>157</v>
      </c>
      <c r="D52" s="43" t="s">
        <v>44</v>
      </c>
    </row>
    <row r="53" spans="2:4">
      <c r="B53" s="44">
        <f t="shared" ref="B53:B77" si="6">$C$13</f>
        <v>97381</v>
      </c>
      <c r="C53" s="44">
        <f t="shared" ref="C53:C77" si="7">B53/(1+$C$5)^B17</f>
        <v>81150.833333333343</v>
      </c>
      <c r="D53" s="44">
        <f>C53*$C$5</f>
        <v>16230.16666666667</v>
      </c>
    </row>
    <row r="54" spans="2:4">
      <c r="B54" s="44">
        <f t="shared" si="6"/>
        <v>97381</v>
      </c>
      <c r="C54" s="44">
        <f t="shared" si="7"/>
        <v>67625.694444444453</v>
      </c>
      <c r="D54" s="44">
        <f t="shared" ref="D54:D77" si="8">C54*$C$5</f>
        <v>13525.138888888891</v>
      </c>
    </row>
    <row r="55" spans="2:4">
      <c r="B55" s="44">
        <f t="shared" si="6"/>
        <v>97381</v>
      </c>
      <c r="C55" s="44">
        <f t="shared" si="7"/>
        <v>56354.745370370372</v>
      </c>
      <c r="D55" s="44">
        <f t="shared" si="8"/>
        <v>11270.949074074075</v>
      </c>
    </row>
    <row r="56" spans="2:4">
      <c r="B56" s="44">
        <f t="shared" si="6"/>
        <v>97381</v>
      </c>
      <c r="C56" s="44">
        <f t="shared" si="7"/>
        <v>46962.287808641981</v>
      </c>
      <c r="D56" s="44">
        <f t="shared" si="8"/>
        <v>9392.4575617283972</v>
      </c>
    </row>
    <row r="57" spans="2:4">
      <c r="B57" s="44">
        <f t="shared" si="6"/>
        <v>97381</v>
      </c>
      <c r="C57" s="44">
        <f t="shared" si="7"/>
        <v>39135.239840534981</v>
      </c>
      <c r="D57" s="44">
        <f t="shared" si="8"/>
        <v>7827.0479681069964</v>
      </c>
    </row>
    <row r="58" spans="2:4">
      <c r="B58" s="44">
        <f t="shared" si="6"/>
        <v>97381</v>
      </c>
      <c r="C58" s="44">
        <f t="shared" si="7"/>
        <v>32612.699867112486</v>
      </c>
      <c r="D58" s="44">
        <f t="shared" si="8"/>
        <v>6522.5399734224975</v>
      </c>
    </row>
    <row r="59" spans="2:4">
      <c r="B59" s="44">
        <f t="shared" si="6"/>
        <v>97381</v>
      </c>
      <c r="C59" s="44">
        <f t="shared" si="7"/>
        <v>27177.249889260405</v>
      </c>
      <c r="D59" s="44">
        <f t="shared" si="8"/>
        <v>5435.4499778520812</v>
      </c>
    </row>
    <row r="60" spans="2:4">
      <c r="B60" s="44">
        <f t="shared" si="6"/>
        <v>97381</v>
      </c>
      <c r="C60" s="44">
        <f t="shared" si="7"/>
        <v>22647.708241050339</v>
      </c>
      <c r="D60" s="44">
        <f t="shared" si="8"/>
        <v>4529.5416482100682</v>
      </c>
    </row>
    <row r="61" spans="2:4">
      <c r="B61" s="44">
        <f t="shared" si="6"/>
        <v>97381</v>
      </c>
      <c r="C61" s="44">
        <f t="shared" si="7"/>
        <v>18873.090200875282</v>
      </c>
      <c r="D61" s="44">
        <f t="shared" si="8"/>
        <v>3774.6180401750566</v>
      </c>
    </row>
    <row r="62" spans="2:4">
      <c r="B62" s="44">
        <f t="shared" si="6"/>
        <v>97381</v>
      </c>
      <c r="C62" s="44">
        <f t="shared" si="7"/>
        <v>15727.575167396068</v>
      </c>
      <c r="D62" s="44">
        <f t="shared" si="8"/>
        <v>3145.5150334792138</v>
      </c>
    </row>
    <row r="63" spans="2:4">
      <c r="B63" s="44">
        <f t="shared" si="6"/>
        <v>97381</v>
      </c>
      <c r="C63" s="44">
        <f t="shared" si="7"/>
        <v>13106.312639496724</v>
      </c>
      <c r="D63" s="44">
        <f t="shared" si="8"/>
        <v>2621.2625278993451</v>
      </c>
    </row>
    <row r="64" spans="2:4">
      <c r="B64" s="44">
        <f t="shared" si="6"/>
        <v>97381</v>
      </c>
      <c r="C64" s="44">
        <f t="shared" si="7"/>
        <v>10921.927199580605</v>
      </c>
      <c r="D64" s="44">
        <f t="shared" si="8"/>
        <v>2184.385439916121</v>
      </c>
    </row>
    <row r="65" spans="2:4">
      <c r="B65" s="44">
        <f t="shared" si="6"/>
        <v>97381</v>
      </c>
      <c r="C65" s="44">
        <f t="shared" si="7"/>
        <v>9101.6059996505028</v>
      </c>
      <c r="D65" s="44">
        <f t="shared" si="8"/>
        <v>1820.3211999301006</v>
      </c>
    </row>
    <row r="66" spans="2:4">
      <c r="B66" s="44">
        <f t="shared" si="6"/>
        <v>97381</v>
      </c>
      <c r="C66" s="44">
        <f t="shared" si="7"/>
        <v>7584.6716663754196</v>
      </c>
      <c r="D66" s="44">
        <f t="shared" si="8"/>
        <v>1516.9343332750841</v>
      </c>
    </row>
    <row r="67" spans="2:4">
      <c r="B67" s="44">
        <f t="shared" si="6"/>
        <v>97381</v>
      </c>
      <c r="C67" s="44">
        <f t="shared" si="7"/>
        <v>6320.5597219795163</v>
      </c>
      <c r="D67" s="44">
        <f t="shared" si="8"/>
        <v>1264.1119443959033</v>
      </c>
    </row>
    <row r="68" spans="2:4">
      <c r="B68" s="44">
        <f t="shared" si="6"/>
        <v>97381</v>
      </c>
      <c r="C68" s="44">
        <f t="shared" si="7"/>
        <v>5267.1331016495978</v>
      </c>
      <c r="D68" s="44">
        <f t="shared" si="8"/>
        <v>1053.4266203299196</v>
      </c>
    </row>
    <row r="69" spans="2:4">
      <c r="B69" s="44">
        <f t="shared" si="6"/>
        <v>97381</v>
      </c>
      <c r="C69" s="44">
        <f t="shared" si="7"/>
        <v>4389.2775847079984</v>
      </c>
      <c r="D69" s="44">
        <f t="shared" si="8"/>
        <v>877.85551694159972</v>
      </c>
    </row>
    <row r="70" spans="2:4">
      <c r="B70" s="44">
        <f t="shared" si="6"/>
        <v>97381</v>
      </c>
      <c r="C70" s="44">
        <f t="shared" si="7"/>
        <v>3657.7313205899982</v>
      </c>
      <c r="D70" s="44">
        <f t="shared" si="8"/>
        <v>731.54626411799973</v>
      </c>
    </row>
    <row r="71" spans="2:4">
      <c r="B71" s="44">
        <f t="shared" si="6"/>
        <v>97381</v>
      </c>
      <c r="C71" s="44">
        <f t="shared" si="7"/>
        <v>3048.1094338249986</v>
      </c>
      <c r="D71" s="44">
        <f t="shared" si="8"/>
        <v>609.62188676499977</v>
      </c>
    </row>
    <row r="72" spans="2:4">
      <c r="B72" s="44">
        <f t="shared" si="6"/>
        <v>97381</v>
      </c>
      <c r="C72" s="44">
        <f t="shared" si="7"/>
        <v>2540.0911948541657</v>
      </c>
      <c r="D72" s="44">
        <f t="shared" si="8"/>
        <v>508.01823897083318</v>
      </c>
    </row>
    <row r="73" spans="2:4">
      <c r="B73" s="44">
        <f t="shared" si="6"/>
        <v>97381</v>
      </c>
      <c r="C73" s="44">
        <f t="shared" si="7"/>
        <v>2116.7426623784713</v>
      </c>
      <c r="D73" s="44">
        <f t="shared" si="8"/>
        <v>423.3485324756943</v>
      </c>
    </row>
    <row r="74" spans="2:4">
      <c r="B74" s="44">
        <f t="shared" si="6"/>
        <v>97381</v>
      </c>
      <c r="C74" s="44">
        <f t="shared" si="7"/>
        <v>1763.9522186487263</v>
      </c>
      <c r="D74" s="44">
        <f t="shared" si="8"/>
        <v>352.79044372974528</v>
      </c>
    </row>
    <row r="75" spans="2:4">
      <c r="B75" s="44">
        <f t="shared" si="6"/>
        <v>97381</v>
      </c>
      <c r="C75" s="44">
        <f t="shared" si="7"/>
        <v>1469.9601822072718</v>
      </c>
      <c r="D75" s="44">
        <f t="shared" si="8"/>
        <v>293.99203644145439</v>
      </c>
    </row>
    <row r="76" spans="2:4">
      <c r="B76" s="44">
        <f t="shared" si="6"/>
        <v>97381</v>
      </c>
      <c r="C76" s="44">
        <f t="shared" si="7"/>
        <v>1224.96681850606</v>
      </c>
      <c r="D76" s="44">
        <f t="shared" si="8"/>
        <v>244.99336370121202</v>
      </c>
    </row>
    <row r="77" spans="2:4">
      <c r="B77" s="44">
        <f t="shared" si="6"/>
        <v>97381</v>
      </c>
      <c r="C77" s="44">
        <f t="shared" si="7"/>
        <v>1020.8056820883832</v>
      </c>
      <c r="D77" s="44">
        <f t="shared" si="8"/>
        <v>204.16113641767663</v>
      </c>
    </row>
    <row r="78" spans="2:4">
      <c r="B78" s="44"/>
      <c r="C78" s="44">
        <f>SUM(C53:C77)</f>
        <v>481800.97158955823</v>
      </c>
      <c r="D78" s="44">
        <f>SUM(D53:D77)</f>
        <v>96360.194317911664</v>
      </c>
    </row>
    <row r="80" spans="2:4">
      <c r="B80" s="45" t="s">
        <v>158</v>
      </c>
      <c r="C80" s="46">
        <f>N42+C78</f>
        <v>2643090.8821645211</v>
      </c>
      <c r="D80" s="45" t="s">
        <v>38</v>
      </c>
    </row>
    <row r="81" spans="2:4">
      <c r="B81" s="45" t="s">
        <v>43</v>
      </c>
      <c r="C81" s="47">
        <f>SUM(I42:K42)/C80</f>
        <v>0.10099391948899314</v>
      </c>
      <c r="D81" s="45" t="s">
        <v>42</v>
      </c>
    </row>
    <row r="82" spans="2:4">
      <c r="B82" s="45" t="s">
        <v>40</v>
      </c>
      <c r="C82" s="46">
        <f>D78+P42</f>
        <v>528618.17643290409</v>
      </c>
      <c r="D82" s="45" t="s">
        <v>38</v>
      </c>
    </row>
    <row r="83" spans="2:4">
      <c r="B83" s="45" t="s">
        <v>39</v>
      </c>
      <c r="C83" s="46">
        <f>C82-C44</f>
        <v>261682.0686774886</v>
      </c>
      <c r="D83" s="45" t="s">
        <v>38</v>
      </c>
    </row>
    <row r="84" spans="2:4">
      <c r="B84" s="45" t="s">
        <v>159</v>
      </c>
      <c r="C84" s="48">
        <f>I16/(O17+C53)</f>
        <v>1.2566473215472331</v>
      </c>
      <c r="D84" s="45" t="s">
        <v>160</v>
      </c>
    </row>
    <row r="85" spans="2:4">
      <c r="B85" s="45" t="s">
        <v>37</v>
      </c>
      <c r="C85" s="45">
        <v>50.8</v>
      </c>
      <c r="D85" s="45" t="s">
        <v>12</v>
      </c>
    </row>
  </sheetData>
  <mergeCells count="2">
    <mergeCell ref="I14:N14"/>
    <mergeCell ref="O14:P14"/>
  </mergeCells>
  <phoneticPr fontId="3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6A2CE-C940-40F1-A78D-BF6ACE281264}">
  <dimension ref="A2:D17"/>
  <sheetViews>
    <sheetView zoomScale="69" zoomScaleNormal="85" workbookViewId="0">
      <selection activeCell="D17" sqref="D17"/>
    </sheetView>
  </sheetViews>
  <sheetFormatPr defaultColWidth="8.6328125" defaultRowHeight="14.5"/>
  <cols>
    <col min="1" max="1" width="2.26953125" style="1" customWidth="1"/>
    <col min="2" max="2" width="20.81640625" style="1" customWidth="1"/>
    <col min="3" max="3" width="15.36328125" style="1" customWidth="1"/>
    <col min="4" max="4" width="22.453125" style="1" customWidth="1"/>
    <col min="5" max="5" width="11.36328125" style="1" customWidth="1"/>
    <col min="6" max="16384" width="8.6328125" style="1"/>
  </cols>
  <sheetData>
    <row r="2" spans="1:4" ht="29">
      <c r="B2" s="9" t="s">
        <v>194</v>
      </c>
      <c r="C2" s="9" t="s">
        <v>153</v>
      </c>
      <c r="D2" s="9" t="s">
        <v>195</v>
      </c>
    </row>
    <row r="3" spans="1:4">
      <c r="B3" s="13">
        <v>1</v>
      </c>
      <c r="C3" s="62">
        <f>B3%*('PV Economic Analysis'!C6)</f>
        <v>1528.6389999999999</v>
      </c>
      <c r="D3" s="63">
        <v>0.1</v>
      </c>
    </row>
    <row r="4" spans="1:4">
      <c r="B4" s="13">
        <v>3</v>
      </c>
      <c r="C4" s="12">
        <f>B4%*'PV Economic Analysis'!C6</f>
        <v>4585.9169999999995</v>
      </c>
      <c r="D4" s="63">
        <v>0.11</v>
      </c>
    </row>
    <row r="5" spans="1:4">
      <c r="B5" s="13">
        <v>5</v>
      </c>
      <c r="C5" s="12">
        <f>B5%*'PV Economic Analysis'!C6</f>
        <v>7643.1949999999997</v>
      </c>
      <c r="D5" s="63">
        <v>0.12</v>
      </c>
    </row>
    <row r="6" spans="1:4">
      <c r="B6" s="13">
        <v>7</v>
      </c>
      <c r="C6" s="62">
        <f>B6%*'PV Economic Analysis'!C6</f>
        <v>10700.473</v>
      </c>
      <c r="D6" s="63">
        <v>0.14000000000000001</v>
      </c>
    </row>
    <row r="7" spans="1:4">
      <c r="B7" s="13">
        <v>10</v>
      </c>
      <c r="C7" s="62">
        <f>B7%*'PV Economic Analysis'!C6</f>
        <v>15286.39</v>
      </c>
      <c r="D7" s="63">
        <v>0.16</v>
      </c>
    </row>
    <row r="8" spans="1:4">
      <c r="B8" s="13">
        <v>12</v>
      </c>
      <c r="C8" s="62">
        <f>B8%*'PV Economic Analysis'!C6</f>
        <v>18343.667999999998</v>
      </c>
      <c r="D8" s="63">
        <v>0.17</v>
      </c>
    </row>
    <row r="9" spans="1:4">
      <c r="B9" s="13">
        <v>15</v>
      </c>
      <c r="C9" s="62">
        <f>B9%*'PV Economic Analysis'!C6</f>
        <v>22929.584999999999</v>
      </c>
      <c r="D9" s="63">
        <v>0.19</v>
      </c>
    </row>
    <row r="12" spans="1:4" s="61" customFormat="1">
      <c r="A12" s="1"/>
      <c r="B12" s="1"/>
      <c r="C12" s="3"/>
      <c r="D12" s="1"/>
    </row>
    <row r="13" spans="1:4">
      <c r="C13" s="3"/>
    </row>
    <row r="14" spans="1:4">
      <c r="C14" s="3"/>
    </row>
    <row r="15" spans="1:4">
      <c r="C15" s="3"/>
    </row>
    <row r="16" spans="1:4">
      <c r="C16" s="3"/>
    </row>
    <row r="17" spans="3:3">
      <c r="C17" s="3"/>
    </row>
  </sheetData>
  <phoneticPr fontId="3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38ED4-0CBC-4047-A29B-D6AE018B77BB}">
  <dimension ref="B2:P43"/>
  <sheetViews>
    <sheetView zoomScale="60" zoomScaleNormal="100" workbookViewId="0">
      <selection activeCell="F43" sqref="F43"/>
    </sheetView>
  </sheetViews>
  <sheetFormatPr defaultColWidth="8.6328125" defaultRowHeight="14.5"/>
  <cols>
    <col min="1" max="1" width="3.1796875" style="35" customWidth="1"/>
    <col min="2" max="2" width="21" style="35" customWidth="1"/>
    <col min="3" max="3" width="22.1796875" style="35" customWidth="1"/>
    <col min="4" max="4" width="10.54296875" style="35" bestFit="1" customWidth="1"/>
    <col min="5" max="5" width="19.453125" style="35" customWidth="1"/>
    <col min="6" max="6" width="19.08984375" style="35" bestFit="1" customWidth="1"/>
    <col min="7" max="7" width="21.90625" style="35" customWidth="1"/>
    <col min="8" max="8" width="10.81640625" style="35" bestFit="1" customWidth="1"/>
    <col min="9" max="9" width="14.6328125" style="35" bestFit="1" customWidth="1"/>
    <col min="10" max="10" width="11.6328125" style="35" bestFit="1" customWidth="1"/>
    <col min="11" max="11" width="10.54296875" style="35" bestFit="1" customWidth="1"/>
    <col min="12" max="13" width="8.6328125" style="35"/>
    <col min="14" max="14" width="13.08984375" style="35" bestFit="1" customWidth="1"/>
    <col min="15" max="15" width="15.90625" style="35" customWidth="1"/>
    <col min="16" max="16" width="15.26953125" style="35" customWidth="1"/>
    <col min="17" max="16384" width="8.6328125" style="35"/>
  </cols>
  <sheetData>
    <row r="2" spans="2:16" ht="15.5">
      <c r="B2" s="64" t="s">
        <v>66</v>
      </c>
      <c r="C2" s="65">
        <v>58300</v>
      </c>
      <c r="D2" s="66" t="s">
        <v>38</v>
      </c>
    </row>
    <row r="3" spans="2:16" ht="15.5">
      <c r="B3" s="64" t="s">
        <v>65</v>
      </c>
      <c r="C3" s="65">
        <f>(C2+C6)-(C2*10%+C6)</f>
        <v>52470</v>
      </c>
      <c r="D3" s="66" t="s">
        <v>38</v>
      </c>
    </row>
    <row r="4" spans="2:16" ht="15.5">
      <c r="B4" s="64" t="s">
        <v>57</v>
      </c>
      <c r="C4" s="67">
        <v>0.115</v>
      </c>
      <c r="D4" s="66"/>
    </row>
    <row r="5" spans="2:16" ht="15.5">
      <c r="B5" s="64" t="s">
        <v>55</v>
      </c>
      <c r="C5" s="68">
        <v>0.23</v>
      </c>
      <c r="D5" s="66" t="s">
        <v>207</v>
      </c>
    </row>
    <row r="6" spans="2:16" ht="15.5">
      <c r="B6" s="64" t="s">
        <v>56</v>
      </c>
      <c r="C6" s="65">
        <f>C2*10%</f>
        <v>5830</v>
      </c>
      <c r="D6" s="66" t="s">
        <v>38</v>
      </c>
    </row>
    <row r="7" spans="2:16" ht="15.5">
      <c r="B7" s="64" t="s">
        <v>64</v>
      </c>
      <c r="C7" s="65">
        <f>3600+55122.74</f>
        <v>58722.74</v>
      </c>
      <c r="D7" s="66" t="s">
        <v>38</v>
      </c>
    </row>
    <row r="8" spans="2:16" ht="15.5">
      <c r="I8" s="81" t="s">
        <v>146</v>
      </c>
      <c r="J8" s="81"/>
      <c r="K8" s="81"/>
      <c r="L8" s="81"/>
      <c r="M8" s="81"/>
      <c r="N8" s="81"/>
      <c r="O8" s="81" t="s">
        <v>148</v>
      </c>
      <c r="P8" s="81"/>
    </row>
    <row r="9" spans="2:16" ht="46.5">
      <c r="B9" s="64" t="s">
        <v>52</v>
      </c>
      <c r="C9" s="69" t="s">
        <v>51</v>
      </c>
      <c r="D9" s="69" t="s">
        <v>49</v>
      </c>
      <c r="E9" s="69" t="s">
        <v>151</v>
      </c>
      <c r="F9" s="69" t="s">
        <v>150</v>
      </c>
      <c r="G9" s="69" t="s">
        <v>149</v>
      </c>
      <c r="H9" s="69" t="s">
        <v>152</v>
      </c>
      <c r="I9" s="69" t="s">
        <v>50</v>
      </c>
      <c r="J9" s="69" t="s">
        <v>49</v>
      </c>
      <c r="K9" s="69" t="s">
        <v>48</v>
      </c>
      <c r="L9" s="69" t="s">
        <v>47</v>
      </c>
      <c r="M9" s="69" t="s">
        <v>46</v>
      </c>
      <c r="N9" s="69" t="s">
        <v>45</v>
      </c>
      <c r="O9" s="69" t="s">
        <v>44</v>
      </c>
      <c r="P9" s="69" t="s">
        <v>40</v>
      </c>
    </row>
    <row r="10" spans="2:16">
      <c r="B10" s="66">
        <v>0</v>
      </c>
      <c r="C10" s="65">
        <f>C2+C6</f>
        <v>64130</v>
      </c>
      <c r="D10" s="66"/>
      <c r="E10" s="66"/>
      <c r="F10" s="66"/>
      <c r="G10" s="66"/>
      <c r="H10" s="66"/>
      <c r="I10" s="44">
        <f t="shared" ref="I10:I35" si="0">C10/(1+$C$4)^B10</f>
        <v>64130</v>
      </c>
      <c r="J10" s="44">
        <f t="shared" ref="J10:J35" si="1">D10/(1+$C$4)^B10</f>
        <v>0</v>
      </c>
      <c r="K10" s="44">
        <f t="shared" ref="K10:K35" si="2">E10/(1+$C$4)^B10</f>
        <v>0</v>
      </c>
      <c r="L10" s="66">
        <f>F10/(1+$C$4)^D10</f>
        <v>0</v>
      </c>
      <c r="M10" s="66">
        <f>G10/(1+$C$4)^E10</f>
        <v>0</v>
      </c>
      <c r="N10" s="66">
        <f t="shared" ref="N10:N35" si="3">H10/(1+$C$4)^B10</f>
        <v>0</v>
      </c>
      <c r="O10" s="66"/>
      <c r="P10" s="66"/>
    </row>
    <row r="11" spans="2:16">
      <c r="B11" s="66">
        <v>1</v>
      </c>
      <c r="C11" s="66"/>
      <c r="D11" s="44">
        <f>C7</f>
        <v>58722.74</v>
      </c>
      <c r="E11" s="66"/>
      <c r="F11" s="66"/>
      <c r="G11" s="66"/>
      <c r="H11" s="65">
        <v>204765</v>
      </c>
      <c r="I11" s="44">
        <f t="shared" si="0"/>
        <v>0</v>
      </c>
      <c r="J11" s="44">
        <f t="shared" si="1"/>
        <v>52666.134529147981</v>
      </c>
      <c r="K11" s="44">
        <f t="shared" si="2"/>
        <v>0</v>
      </c>
      <c r="L11" s="66"/>
      <c r="M11" s="66"/>
      <c r="N11" s="44">
        <f t="shared" si="3"/>
        <v>183645.73991031389</v>
      </c>
      <c r="O11" s="44">
        <f t="shared" ref="O11:O35" si="4">H11*$C$5</f>
        <v>47095.950000000004</v>
      </c>
      <c r="P11" s="44">
        <f t="shared" ref="P11:P35" si="5">O11/(1+$C$4)^B11</f>
        <v>42238.520179372201</v>
      </c>
    </row>
    <row r="12" spans="2:16">
      <c r="B12" s="66">
        <v>2</v>
      </c>
      <c r="C12" s="66"/>
      <c r="D12" s="44">
        <f>C7</f>
        <v>58722.74</v>
      </c>
      <c r="E12" s="66"/>
      <c r="F12" s="66"/>
      <c r="G12" s="66"/>
      <c r="H12" s="65">
        <v>204765</v>
      </c>
      <c r="I12" s="44">
        <f t="shared" si="0"/>
        <v>0</v>
      </c>
      <c r="J12" s="44">
        <f t="shared" si="1"/>
        <v>47234.201371433162</v>
      </c>
      <c r="K12" s="44">
        <f t="shared" si="2"/>
        <v>0</v>
      </c>
      <c r="L12" s="66"/>
      <c r="M12" s="66"/>
      <c r="N12" s="44">
        <f t="shared" si="3"/>
        <v>164704.69947113353</v>
      </c>
      <c r="O12" s="44">
        <f t="shared" si="4"/>
        <v>47095.950000000004</v>
      </c>
      <c r="P12" s="44">
        <f t="shared" si="5"/>
        <v>37882.080878360721</v>
      </c>
    </row>
    <row r="13" spans="2:16">
      <c r="B13" s="66">
        <v>3</v>
      </c>
      <c r="C13" s="66"/>
      <c r="D13" s="44">
        <f>C7</f>
        <v>58722.74</v>
      </c>
      <c r="E13" s="66"/>
      <c r="F13" s="66"/>
      <c r="G13" s="66"/>
      <c r="H13" s="65">
        <v>204765</v>
      </c>
      <c r="I13" s="44">
        <f t="shared" si="0"/>
        <v>0</v>
      </c>
      <c r="J13" s="44">
        <f t="shared" si="1"/>
        <v>42362.512440747232</v>
      </c>
      <c r="K13" s="44">
        <f t="shared" si="2"/>
        <v>0</v>
      </c>
      <c r="L13" s="66"/>
      <c r="M13" s="66"/>
      <c r="N13" s="44">
        <f t="shared" si="3"/>
        <v>147717.21925662202</v>
      </c>
      <c r="O13" s="44">
        <f t="shared" si="4"/>
        <v>47095.950000000004</v>
      </c>
      <c r="P13" s="44">
        <f t="shared" si="5"/>
        <v>33974.960429023064</v>
      </c>
    </row>
    <row r="14" spans="2:16">
      <c r="B14" s="66">
        <v>4</v>
      </c>
      <c r="C14" s="66"/>
      <c r="D14" s="44">
        <f>C7</f>
        <v>58722.74</v>
      </c>
      <c r="E14" s="66"/>
      <c r="F14" s="66"/>
      <c r="G14" s="66"/>
      <c r="H14" s="65">
        <v>204765</v>
      </c>
      <c r="I14" s="44">
        <f t="shared" si="0"/>
        <v>0</v>
      </c>
      <c r="J14" s="44">
        <f t="shared" si="1"/>
        <v>37993.284700221731</v>
      </c>
      <c r="K14" s="44">
        <f t="shared" si="2"/>
        <v>0</v>
      </c>
      <c r="L14" s="66"/>
      <c r="M14" s="66"/>
      <c r="N14" s="44">
        <f t="shared" si="3"/>
        <v>132481.81099248611</v>
      </c>
      <c r="O14" s="44">
        <f t="shared" si="4"/>
        <v>47095.950000000004</v>
      </c>
      <c r="P14" s="44">
        <f t="shared" si="5"/>
        <v>30470.816528271804</v>
      </c>
    </row>
    <row r="15" spans="2:16">
      <c r="B15" s="66">
        <v>5</v>
      </c>
      <c r="C15" s="66"/>
      <c r="D15" s="44">
        <f>C7</f>
        <v>58722.74</v>
      </c>
      <c r="E15" s="66"/>
      <c r="F15" s="66"/>
      <c r="G15" s="66"/>
      <c r="H15" s="65">
        <v>204765</v>
      </c>
      <c r="I15" s="44">
        <f t="shared" si="0"/>
        <v>0</v>
      </c>
      <c r="J15" s="44">
        <f t="shared" si="1"/>
        <v>34074.694798405137</v>
      </c>
      <c r="K15" s="44">
        <f t="shared" si="2"/>
        <v>0</v>
      </c>
      <c r="L15" s="66"/>
      <c r="M15" s="66"/>
      <c r="N15" s="44">
        <f t="shared" si="3"/>
        <v>118817.76770626556</v>
      </c>
      <c r="O15" s="44">
        <f t="shared" si="4"/>
        <v>47095.950000000004</v>
      </c>
      <c r="P15" s="44">
        <f t="shared" si="5"/>
        <v>27328.08657244108</v>
      </c>
    </row>
    <row r="16" spans="2:16">
      <c r="B16" s="66">
        <v>6</v>
      </c>
      <c r="C16" s="66"/>
      <c r="D16" s="44">
        <f>C7</f>
        <v>58722.74</v>
      </c>
      <c r="E16" s="44">
        <f>C3+C6</f>
        <v>58300</v>
      </c>
      <c r="F16" s="66"/>
      <c r="G16" s="66"/>
      <c r="H16" s="65">
        <v>204765</v>
      </c>
      <c r="I16" s="44">
        <f t="shared" si="0"/>
        <v>0</v>
      </c>
      <c r="J16" s="44">
        <f t="shared" si="1"/>
        <v>30560.264393188463</v>
      </c>
      <c r="K16" s="44">
        <f t="shared" si="2"/>
        <v>30340.263654640221</v>
      </c>
      <c r="L16" s="66"/>
      <c r="M16" s="66"/>
      <c r="N16" s="44">
        <f t="shared" si="3"/>
        <v>106563.02036436372</v>
      </c>
      <c r="O16" s="44">
        <f t="shared" si="4"/>
        <v>47095.950000000004</v>
      </c>
      <c r="P16" s="44">
        <f t="shared" si="5"/>
        <v>24509.494683803659</v>
      </c>
    </row>
    <row r="17" spans="2:16">
      <c r="B17" s="66">
        <v>7</v>
      </c>
      <c r="C17" s="66"/>
      <c r="D17" s="44">
        <f>C7</f>
        <v>58722.74</v>
      </c>
      <c r="E17" s="44"/>
      <c r="F17" s="66"/>
      <c r="G17" s="66"/>
      <c r="H17" s="65">
        <v>204765</v>
      </c>
      <c r="I17" s="44">
        <f t="shared" si="0"/>
        <v>0</v>
      </c>
      <c r="J17" s="44">
        <f t="shared" si="1"/>
        <v>27408.308872814767</v>
      </c>
      <c r="K17" s="44">
        <f t="shared" si="2"/>
        <v>0</v>
      </c>
      <c r="L17" s="66"/>
      <c r="M17" s="66"/>
      <c r="N17" s="44">
        <f t="shared" si="3"/>
        <v>95572.215573420384</v>
      </c>
      <c r="O17" s="44">
        <f t="shared" si="4"/>
        <v>47095.950000000004</v>
      </c>
      <c r="P17" s="44">
        <f t="shared" si="5"/>
        <v>21981.609581886689</v>
      </c>
    </row>
    <row r="18" spans="2:16">
      <c r="B18" s="66">
        <v>8</v>
      </c>
      <c r="C18" s="66"/>
      <c r="D18" s="44">
        <f>C7</f>
        <v>58722.74</v>
      </c>
      <c r="E18" s="44"/>
      <c r="F18" s="66"/>
      <c r="G18" s="66"/>
      <c r="H18" s="65">
        <v>204765</v>
      </c>
      <c r="I18" s="44">
        <f t="shared" si="0"/>
        <v>0</v>
      </c>
      <c r="J18" s="44">
        <f t="shared" si="1"/>
        <v>24581.442935259878</v>
      </c>
      <c r="K18" s="44">
        <f t="shared" si="2"/>
        <v>0</v>
      </c>
      <c r="L18" s="66"/>
      <c r="M18" s="66"/>
      <c r="N18" s="44">
        <f t="shared" si="3"/>
        <v>85714.991545668498</v>
      </c>
      <c r="O18" s="44">
        <f t="shared" si="4"/>
        <v>47095.950000000004</v>
      </c>
      <c r="P18" s="44">
        <f t="shared" si="5"/>
        <v>19714.448055503755</v>
      </c>
    </row>
    <row r="19" spans="2:16">
      <c r="B19" s="66">
        <v>9</v>
      </c>
      <c r="C19" s="66"/>
      <c r="D19" s="44">
        <f>C7</f>
        <v>58722.74</v>
      </c>
      <c r="E19" s="44"/>
      <c r="F19" s="66"/>
      <c r="G19" s="66"/>
      <c r="H19" s="65">
        <v>204765</v>
      </c>
      <c r="I19" s="44">
        <f t="shared" si="0"/>
        <v>0</v>
      </c>
      <c r="J19" s="44">
        <f t="shared" si="1"/>
        <v>22046.137161668052</v>
      </c>
      <c r="K19" s="44">
        <f t="shared" si="2"/>
        <v>0</v>
      </c>
      <c r="L19" s="66"/>
      <c r="M19" s="66"/>
      <c r="N19" s="44">
        <f t="shared" si="3"/>
        <v>76874.431879523312</v>
      </c>
      <c r="O19" s="44">
        <f t="shared" si="4"/>
        <v>47095.950000000004</v>
      </c>
      <c r="P19" s="44">
        <f t="shared" si="5"/>
        <v>17681.119332290364</v>
      </c>
    </row>
    <row r="20" spans="2:16">
      <c r="B20" s="66">
        <v>10</v>
      </c>
      <c r="C20" s="66"/>
      <c r="D20" s="44">
        <f>C7</f>
        <v>58722.74</v>
      </c>
      <c r="E20" s="44"/>
      <c r="F20" s="66"/>
      <c r="G20" s="66"/>
      <c r="H20" s="65">
        <v>204765</v>
      </c>
      <c r="I20" s="44">
        <f t="shared" si="0"/>
        <v>0</v>
      </c>
      <c r="J20" s="44">
        <f t="shared" si="1"/>
        <v>19772.320324365966</v>
      </c>
      <c r="K20" s="44">
        <f t="shared" si="2"/>
        <v>0</v>
      </c>
      <c r="L20" s="66"/>
      <c r="M20" s="66"/>
      <c r="N20" s="44">
        <f t="shared" si="3"/>
        <v>68945.678815715975</v>
      </c>
      <c r="O20" s="44">
        <f t="shared" si="4"/>
        <v>47095.950000000004</v>
      </c>
      <c r="P20" s="44">
        <f t="shared" si="5"/>
        <v>15857.506127614675</v>
      </c>
    </row>
    <row r="21" spans="2:16">
      <c r="B21" s="66">
        <v>11</v>
      </c>
      <c r="C21" s="66"/>
      <c r="D21" s="44">
        <f>C7</f>
        <v>58722.74</v>
      </c>
      <c r="E21" s="44"/>
      <c r="F21" s="66"/>
      <c r="G21" s="66"/>
      <c r="H21" s="65">
        <v>204765</v>
      </c>
      <c r="I21" s="44">
        <f t="shared" si="0"/>
        <v>0</v>
      </c>
      <c r="J21" s="44">
        <f t="shared" si="1"/>
        <v>17733.022712435843</v>
      </c>
      <c r="K21" s="44">
        <f t="shared" si="2"/>
        <v>0</v>
      </c>
      <c r="L21" s="66"/>
      <c r="M21" s="66"/>
      <c r="N21" s="44">
        <f t="shared" si="3"/>
        <v>61834.689520821499</v>
      </c>
      <c r="O21" s="44">
        <f t="shared" si="4"/>
        <v>47095.950000000004</v>
      </c>
      <c r="P21" s="44">
        <f t="shared" si="5"/>
        <v>14221.978589788947</v>
      </c>
    </row>
    <row r="22" spans="2:16">
      <c r="B22" s="66">
        <v>12</v>
      </c>
      <c r="C22" s="66"/>
      <c r="D22" s="44">
        <f>C7</f>
        <v>58722.74</v>
      </c>
      <c r="E22" s="44">
        <f>C3+C6</f>
        <v>58300</v>
      </c>
      <c r="F22" s="66"/>
      <c r="G22" s="66"/>
      <c r="H22" s="65">
        <v>204765</v>
      </c>
      <c r="I22" s="44">
        <f t="shared" si="0"/>
        <v>0</v>
      </c>
      <c r="J22" s="44">
        <f t="shared" si="1"/>
        <v>15904.056244337078</v>
      </c>
      <c r="K22" s="44">
        <f t="shared" si="2"/>
        <v>15789.564299023712</v>
      </c>
      <c r="L22" s="66"/>
      <c r="M22" s="66"/>
      <c r="N22" s="44">
        <f t="shared" si="3"/>
        <v>55457.120646476673</v>
      </c>
      <c r="O22" s="44">
        <f t="shared" si="4"/>
        <v>47095.950000000004</v>
      </c>
      <c r="P22" s="44">
        <f t="shared" si="5"/>
        <v>12755.137748689636</v>
      </c>
    </row>
    <row r="23" spans="2:16">
      <c r="B23" s="66">
        <v>13</v>
      </c>
      <c r="C23" s="66"/>
      <c r="D23" s="44">
        <f>C7</f>
        <v>58722.74</v>
      </c>
      <c r="E23" s="44"/>
      <c r="F23" s="66"/>
      <c r="G23" s="66"/>
      <c r="H23" s="65">
        <v>204765</v>
      </c>
      <c r="I23" s="44">
        <f t="shared" si="0"/>
        <v>0</v>
      </c>
      <c r="J23" s="44">
        <f t="shared" si="1"/>
        <v>14263.727573396483</v>
      </c>
      <c r="K23" s="44">
        <f t="shared" si="2"/>
        <v>0</v>
      </c>
      <c r="L23" s="66"/>
      <c r="M23" s="66"/>
      <c r="N23" s="44">
        <f t="shared" si="3"/>
        <v>49737.327934059802</v>
      </c>
      <c r="O23" s="44">
        <f t="shared" si="4"/>
        <v>47095.950000000004</v>
      </c>
      <c r="P23" s="44">
        <f t="shared" si="5"/>
        <v>11439.585424833755</v>
      </c>
    </row>
    <row r="24" spans="2:16">
      <c r="B24" s="66">
        <v>14</v>
      </c>
      <c r="C24" s="66"/>
      <c r="D24" s="44">
        <f>C7</f>
        <v>58722.74</v>
      </c>
      <c r="E24" s="44"/>
      <c r="F24" s="66"/>
      <c r="G24" s="66"/>
      <c r="H24" s="65">
        <v>204765</v>
      </c>
      <c r="I24" s="44">
        <f t="shared" si="0"/>
        <v>0</v>
      </c>
      <c r="J24" s="44">
        <f t="shared" si="1"/>
        <v>12792.58078331523</v>
      </c>
      <c r="K24" s="44">
        <f t="shared" si="2"/>
        <v>0</v>
      </c>
      <c r="L24" s="66"/>
      <c r="M24" s="66"/>
      <c r="N24" s="44">
        <f t="shared" si="3"/>
        <v>44607.468999156772</v>
      </c>
      <c r="O24" s="44">
        <f t="shared" si="4"/>
        <v>47095.950000000004</v>
      </c>
      <c r="P24" s="44">
        <f t="shared" si="5"/>
        <v>10259.717869806058</v>
      </c>
    </row>
    <row r="25" spans="2:16">
      <c r="B25" s="66">
        <v>15</v>
      </c>
      <c r="C25" s="66"/>
      <c r="D25" s="44">
        <f>C7</f>
        <v>58722.74</v>
      </c>
      <c r="E25" s="44"/>
      <c r="F25" s="66"/>
      <c r="G25" s="66"/>
      <c r="H25" s="65">
        <v>204765</v>
      </c>
      <c r="I25" s="44">
        <f t="shared" si="0"/>
        <v>0</v>
      </c>
      <c r="J25" s="44">
        <f t="shared" si="1"/>
        <v>11473.166621807382</v>
      </c>
      <c r="K25" s="44">
        <f t="shared" si="2"/>
        <v>0</v>
      </c>
      <c r="L25" s="66"/>
      <c r="M25" s="66"/>
      <c r="N25" s="44">
        <f t="shared" si="3"/>
        <v>40006.698653952262</v>
      </c>
      <c r="O25" s="44">
        <f t="shared" si="4"/>
        <v>47095.950000000004</v>
      </c>
      <c r="P25" s="44">
        <f t="shared" si="5"/>
        <v>9201.5406904090214</v>
      </c>
    </row>
    <row r="26" spans="2:16">
      <c r="B26" s="66">
        <v>16</v>
      </c>
      <c r="C26" s="66"/>
      <c r="D26" s="44">
        <f>C7</f>
        <v>58722.74</v>
      </c>
      <c r="E26" s="44"/>
      <c r="F26" s="66"/>
      <c r="G26" s="66"/>
      <c r="H26" s="65">
        <v>204765</v>
      </c>
      <c r="I26" s="44">
        <f t="shared" si="0"/>
        <v>0</v>
      </c>
      <c r="J26" s="44">
        <f t="shared" si="1"/>
        <v>10289.835535253256</v>
      </c>
      <c r="K26" s="44">
        <f t="shared" si="2"/>
        <v>0</v>
      </c>
      <c r="L26" s="66"/>
      <c r="M26" s="66"/>
      <c r="N26" s="44">
        <f t="shared" si="3"/>
        <v>35880.447223275565</v>
      </c>
      <c r="O26" s="44">
        <f t="shared" si="4"/>
        <v>47095.950000000004</v>
      </c>
      <c r="P26" s="44">
        <f t="shared" si="5"/>
        <v>8252.5028613533814</v>
      </c>
    </row>
    <row r="27" spans="2:16">
      <c r="B27" s="66">
        <v>17</v>
      </c>
      <c r="C27" s="66"/>
      <c r="D27" s="44">
        <f>C7</f>
        <v>58722.74</v>
      </c>
      <c r="E27" s="44"/>
      <c r="F27" s="66"/>
      <c r="G27" s="66"/>
      <c r="H27" s="65">
        <v>204765</v>
      </c>
      <c r="I27" s="44">
        <f t="shared" si="0"/>
        <v>0</v>
      </c>
      <c r="J27" s="44">
        <f t="shared" si="1"/>
        <v>9228.5520495544879</v>
      </c>
      <c r="K27" s="44">
        <f t="shared" si="2"/>
        <v>0</v>
      </c>
      <c r="L27" s="66"/>
      <c r="M27" s="66"/>
      <c r="N27" s="44">
        <f t="shared" si="3"/>
        <v>32179.773294417544</v>
      </c>
      <c r="O27" s="44">
        <f t="shared" si="4"/>
        <v>47095.950000000004</v>
      </c>
      <c r="P27" s="44">
        <f t="shared" si="5"/>
        <v>7401.3478577160358</v>
      </c>
    </row>
    <row r="28" spans="2:16">
      <c r="B28" s="66">
        <v>18</v>
      </c>
      <c r="C28" s="66"/>
      <c r="D28" s="44">
        <f>C7</f>
        <v>58722.74</v>
      </c>
      <c r="E28" s="44">
        <f>C3+C6</f>
        <v>58300</v>
      </c>
      <c r="F28" s="66"/>
      <c r="G28" s="66"/>
      <c r="H28" s="65">
        <v>204765</v>
      </c>
      <c r="I28" s="44">
        <f t="shared" si="0"/>
        <v>0</v>
      </c>
      <c r="J28" s="44">
        <f t="shared" si="1"/>
        <v>8276.7282955645642</v>
      </c>
      <c r="K28" s="44">
        <f t="shared" si="2"/>
        <v>8217.1448340355728</v>
      </c>
      <c r="L28" s="66"/>
      <c r="M28" s="66"/>
      <c r="N28" s="44">
        <f t="shared" si="3"/>
        <v>28860.783223692866</v>
      </c>
      <c r="O28" s="44">
        <f t="shared" si="4"/>
        <v>47095.950000000004</v>
      </c>
      <c r="P28" s="44">
        <f t="shared" si="5"/>
        <v>6637.9801414493595</v>
      </c>
    </row>
    <row r="29" spans="2:16">
      <c r="B29" s="66">
        <v>19</v>
      </c>
      <c r="C29" s="66"/>
      <c r="D29" s="44">
        <f>C7</f>
        <v>58722.74</v>
      </c>
      <c r="E29" s="44"/>
      <c r="F29" s="66"/>
      <c r="G29" s="66"/>
      <c r="H29" s="65">
        <v>204765</v>
      </c>
      <c r="I29" s="44">
        <f t="shared" si="0"/>
        <v>0</v>
      </c>
      <c r="J29" s="44">
        <f t="shared" si="1"/>
        <v>7423.0747045422095</v>
      </c>
      <c r="K29" s="44">
        <f t="shared" si="2"/>
        <v>0</v>
      </c>
      <c r="L29" s="66"/>
      <c r="M29" s="66"/>
      <c r="N29" s="44">
        <f t="shared" si="3"/>
        <v>25884.110514522748</v>
      </c>
      <c r="O29" s="44">
        <f t="shared" si="4"/>
        <v>47095.950000000004</v>
      </c>
      <c r="P29" s="44">
        <f t="shared" si="5"/>
        <v>5953.3454183402328</v>
      </c>
    </row>
    <row r="30" spans="2:16">
      <c r="B30" s="66">
        <v>20</v>
      </c>
      <c r="C30" s="66"/>
      <c r="D30" s="44">
        <f>C7</f>
        <v>58722.74</v>
      </c>
      <c r="E30" s="44"/>
      <c r="F30" s="66"/>
      <c r="G30" s="66"/>
      <c r="H30" s="65">
        <v>204765</v>
      </c>
      <c r="I30" s="44">
        <f t="shared" si="0"/>
        <v>0</v>
      </c>
      <c r="J30" s="44">
        <f t="shared" si="1"/>
        <v>6657.4661027284383</v>
      </c>
      <c r="K30" s="44">
        <f t="shared" si="2"/>
        <v>0</v>
      </c>
      <c r="L30" s="66"/>
      <c r="M30" s="66"/>
      <c r="N30" s="44">
        <f t="shared" si="3"/>
        <v>23214.44889194865</v>
      </c>
      <c r="O30" s="44">
        <f t="shared" si="4"/>
        <v>47095.950000000004</v>
      </c>
      <c r="P30" s="44">
        <f t="shared" si="5"/>
        <v>5339.3232451481899</v>
      </c>
    </row>
    <row r="31" spans="2:16">
      <c r="B31" s="66">
        <v>21</v>
      </c>
      <c r="C31" s="66"/>
      <c r="D31" s="44">
        <f>C7</f>
        <v>58722.74</v>
      </c>
      <c r="E31" s="44"/>
      <c r="F31" s="66"/>
      <c r="G31" s="66"/>
      <c r="H31" s="65">
        <v>204765</v>
      </c>
      <c r="I31" s="44">
        <f t="shared" si="0"/>
        <v>0</v>
      </c>
      <c r="J31" s="44">
        <f t="shared" si="1"/>
        <v>5970.8216167968058</v>
      </c>
      <c r="K31" s="44">
        <f t="shared" si="2"/>
        <v>0</v>
      </c>
      <c r="L31" s="66"/>
      <c r="M31" s="66"/>
      <c r="N31" s="44">
        <f t="shared" si="3"/>
        <v>20820.133535379955</v>
      </c>
      <c r="O31" s="44">
        <f t="shared" si="4"/>
        <v>47095.950000000004</v>
      </c>
      <c r="P31" s="44">
        <f t="shared" si="5"/>
        <v>4788.6307131373906</v>
      </c>
    </row>
    <row r="32" spans="2:16">
      <c r="B32" s="66">
        <v>22</v>
      </c>
      <c r="C32" s="66"/>
      <c r="D32" s="44">
        <f>C7</f>
        <v>58722.74</v>
      </c>
      <c r="E32" s="44"/>
      <c r="F32" s="66"/>
      <c r="G32" s="66"/>
      <c r="H32" s="65">
        <v>204765</v>
      </c>
      <c r="I32" s="44">
        <f t="shared" si="0"/>
        <v>0</v>
      </c>
      <c r="J32" s="44">
        <f t="shared" si="1"/>
        <v>5354.9969657370457</v>
      </c>
      <c r="K32" s="44">
        <f t="shared" si="2"/>
        <v>0</v>
      </c>
      <c r="L32" s="66"/>
      <c r="M32" s="66"/>
      <c r="N32" s="44">
        <f t="shared" si="3"/>
        <v>18672.765502582919</v>
      </c>
      <c r="O32" s="44">
        <f t="shared" si="4"/>
        <v>47095.950000000004</v>
      </c>
      <c r="P32" s="44">
        <f t="shared" si="5"/>
        <v>4294.736065594072</v>
      </c>
    </row>
    <row r="33" spans="2:16">
      <c r="B33" s="66">
        <v>23</v>
      </c>
      <c r="C33" s="66"/>
      <c r="D33" s="44">
        <f>C7</f>
        <v>58722.74</v>
      </c>
      <c r="E33" s="44"/>
      <c r="F33" s="66"/>
      <c r="G33" s="66"/>
      <c r="H33" s="65">
        <v>204765</v>
      </c>
      <c r="I33" s="44">
        <f t="shared" si="0"/>
        <v>0</v>
      </c>
      <c r="J33" s="44">
        <f t="shared" si="1"/>
        <v>4802.6878616475742</v>
      </c>
      <c r="K33" s="44">
        <f t="shared" si="2"/>
        <v>0</v>
      </c>
      <c r="L33" s="66"/>
      <c r="M33" s="66"/>
      <c r="N33" s="44">
        <f t="shared" si="3"/>
        <v>16746.874890208899</v>
      </c>
      <c r="O33" s="44">
        <f t="shared" si="4"/>
        <v>47095.950000000004</v>
      </c>
      <c r="P33" s="44">
        <f t="shared" si="5"/>
        <v>3851.781224748047</v>
      </c>
    </row>
    <row r="34" spans="2:16">
      <c r="B34" s="66">
        <v>24</v>
      </c>
      <c r="C34" s="66"/>
      <c r="D34" s="44">
        <f>C7</f>
        <v>58722.74</v>
      </c>
      <c r="E34" s="44">
        <f>C3+C6</f>
        <v>58300</v>
      </c>
      <c r="F34" s="66"/>
      <c r="G34" s="66"/>
      <c r="H34" s="65">
        <v>204765</v>
      </c>
      <c r="I34" s="44">
        <f t="shared" si="0"/>
        <v>0</v>
      </c>
      <c r="J34" s="44">
        <f t="shared" si="1"/>
        <v>4307.3433736749539</v>
      </c>
      <c r="K34" s="44">
        <f t="shared" si="2"/>
        <v>4276.3351758662802</v>
      </c>
      <c r="L34" s="66"/>
      <c r="M34" s="66"/>
      <c r="N34" s="44">
        <f t="shared" si="3"/>
        <v>15019.61873561336</v>
      </c>
      <c r="O34" s="44">
        <f t="shared" si="4"/>
        <v>47095.950000000004</v>
      </c>
      <c r="P34" s="44">
        <f t="shared" si="5"/>
        <v>3454.5123091910727</v>
      </c>
    </row>
    <row r="35" spans="2:16">
      <c r="B35" s="66">
        <v>25</v>
      </c>
      <c r="C35" s="66"/>
      <c r="D35" s="44">
        <f>C7</f>
        <v>58722.74</v>
      </c>
      <c r="E35" s="44"/>
      <c r="F35" s="66"/>
      <c r="G35" s="66"/>
      <c r="H35" s="65">
        <v>204765</v>
      </c>
      <c r="I35" s="44">
        <f t="shared" si="0"/>
        <v>0</v>
      </c>
      <c r="J35" s="44">
        <f t="shared" si="1"/>
        <v>3863.0882275111699</v>
      </c>
      <c r="K35" s="44">
        <f t="shared" si="2"/>
        <v>0</v>
      </c>
      <c r="L35" s="66"/>
      <c r="M35" s="66"/>
      <c r="N35" s="44">
        <f t="shared" si="3"/>
        <v>13470.510076783283</v>
      </c>
      <c r="O35" s="44">
        <f t="shared" si="4"/>
        <v>47095.950000000004</v>
      </c>
      <c r="P35" s="44">
        <f t="shared" si="5"/>
        <v>3098.2173176601555</v>
      </c>
    </row>
    <row r="36" spans="2:16">
      <c r="I36" s="70">
        <f>SUM(I10:I35)</f>
        <v>64130</v>
      </c>
      <c r="J36" s="70">
        <f>SUM(J10:J35)</f>
        <v>477040.45019555488</v>
      </c>
      <c r="K36" s="70">
        <f>SUM(K10:K35)</f>
        <v>58623.307963565785</v>
      </c>
      <c r="L36" s="36"/>
      <c r="M36" s="36"/>
      <c r="N36" s="70">
        <f>SUM(N10:N35)</f>
        <v>1663430.3471584059</v>
      </c>
      <c r="O36" s="70"/>
      <c r="P36" s="70">
        <f>SUM(P11:P35)</f>
        <v>382588.97984643333</v>
      </c>
    </row>
    <row r="38" spans="2:16">
      <c r="B38" s="40" t="s">
        <v>43</v>
      </c>
      <c r="C38" s="75">
        <f>SUM(I36:K36)/N36</f>
        <v>0.36057641919526867</v>
      </c>
      <c r="D38" s="45" t="s">
        <v>42</v>
      </c>
    </row>
    <row r="39" spans="2:16">
      <c r="B39" s="40" t="s">
        <v>41</v>
      </c>
      <c r="C39" s="52">
        <f>SUM(I36:K36)</f>
        <v>599793.75815912068</v>
      </c>
      <c r="D39" s="45" t="s">
        <v>38</v>
      </c>
    </row>
    <row r="40" spans="2:16">
      <c r="B40" s="40" t="s">
        <v>40</v>
      </c>
      <c r="C40" s="52">
        <f>P36</f>
        <v>382588.97984643333</v>
      </c>
      <c r="D40" s="45" t="s">
        <v>38</v>
      </c>
    </row>
    <row r="41" spans="2:16">
      <c r="B41" s="40" t="s">
        <v>39</v>
      </c>
      <c r="C41" s="52">
        <f>C40-C39</f>
        <v>-217204.77831268735</v>
      </c>
      <c r="D41" s="45" t="s">
        <v>38</v>
      </c>
    </row>
    <row r="42" spans="2:16">
      <c r="B42" s="40" t="s">
        <v>63</v>
      </c>
      <c r="C42" s="46">
        <f>I10/O11</f>
        <v>1.3616882131053731</v>
      </c>
      <c r="D42" s="45" t="s">
        <v>160</v>
      </c>
    </row>
    <row r="43" spans="2:16">
      <c r="B43" s="40" t="s">
        <v>37</v>
      </c>
      <c r="C43" s="52">
        <v>2138481589485.6699</v>
      </c>
      <c r="D43" s="45" t="s">
        <v>12</v>
      </c>
    </row>
  </sheetData>
  <mergeCells count="2">
    <mergeCell ref="I8:N8"/>
    <mergeCell ref="O8:P8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8E7D-FBD4-4786-8FF4-26538D718E5E}">
  <dimension ref="B1:C12"/>
  <sheetViews>
    <sheetView workbookViewId="0">
      <selection activeCell="J16" sqref="J16"/>
    </sheetView>
  </sheetViews>
  <sheetFormatPr defaultColWidth="8.6328125" defaultRowHeight="14.5"/>
  <cols>
    <col min="1" max="1" width="2" style="1" customWidth="1"/>
    <col min="2" max="2" width="23.1796875" style="1" customWidth="1"/>
    <col min="3" max="3" width="14.81640625" style="1" customWidth="1"/>
    <col min="4" max="16384" width="8.6328125" style="1"/>
  </cols>
  <sheetData>
    <row r="1" spans="2:3" ht="7" customHeight="1"/>
    <row r="2" spans="2:3">
      <c r="B2" s="16" t="s">
        <v>14</v>
      </c>
    </row>
    <row r="3" spans="2:3">
      <c r="B3" s="9" t="s">
        <v>15</v>
      </c>
      <c r="C3" s="9" t="s">
        <v>16</v>
      </c>
    </row>
    <row r="4" spans="2:3">
      <c r="B4" s="8" t="s">
        <v>17</v>
      </c>
      <c r="C4" s="8" t="s">
        <v>18</v>
      </c>
    </row>
    <row r="5" spans="2:3">
      <c r="B5" s="8" t="s">
        <v>19</v>
      </c>
      <c r="C5" s="8" t="s">
        <v>20</v>
      </c>
    </row>
    <row r="6" spans="2:3">
      <c r="B6" s="8" t="s">
        <v>21</v>
      </c>
      <c r="C6" s="8" t="s">
        <v>22</v>
      </c>
    </row>
    <row r="7" spans="2:3">
      <c r="B7" s="8" t="s">
        <v>23</v>
      </c>
      <c r="C7" s="8" t="s">
        <v>24</v>
      </c>
    </row>
    <row r="8" spans="2:3">
      <c r="B8" s="8" t="s">
        <v>25</v>
      </c>
      <c r="C8" s="8" t="s">
        <v>26</v>
      </c>
    </row>
    <row r="9" spans="2:3" ht="29">
      <c r="B9" s="8" t="s">
        <v>27</v>
      </c>
      <c r="C9" s="8" t="s">
        <v>28</v>
      </c>
    </row>
    <row r="10" spans="2:3">
      <c r="B10" s="8" t="s">
        <v>29</v>
      </c>
      <c r="C10" s="8" t="s">
        <v>30</v>
      </c>
    </row>
    <row r="11" spans="2:3">
      <c r="B11" s="8" t="s">
        <v>31</v>
      </c>
      <c r="C11" s="8" t="s">
        <v>32</v>
      </c>
    </row>
    <row r="12" spans="2:3">
      <c r="B12" s="8" t="s">
        <v>33</v>
      </c>
      <c r="C12" s="8" t="s">
        <v>34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BD977-F07D-4131-9D55-BD8975197ABD}">
  <dimension ref="B1:R168"/>
  <sheetViews>
    <sheetView tabSelected="1" topLeftCell="A2" zoomScale="75" zoomScaleNormal="100" workbookViewId="0">
      <selection activeCell="L18" sqref="L18"/>
    </sheetView>
  </sheetViews>
  <sheetFormatPr defaultColWidth="8.6328125" defaultRowHeight="14.5"/>
  <cols>
    <col min="1" max="1" width="2.1796875" style="1" customWidth="1"/>
    <col min="2" max="2" width="34.81640625" style="1" customWidth="1"/>
    <col min="3" max="3" width="14.90625" style="1" customWidth="1"/>
    <col min="4" max="4" width="10.81640625" style="1" customWidth="1"/>
    <col min="5" max="5" width="15.1796875" style="1" customWidth="1"/>
    <col min="6" max="6" width="16.1796875" style="1" customWidth="1"/>
    <col min="7" max="7" width="15.7265625" style="1" customWidth="1"/>
    <col min="8" max="9" width="8.6328125" style="1"/>
    <col min="10" max="10" width="15.81640625" style="1" customWidth="1"/>
    <col min="11" max="11" width="13.81640625" style="1" customWidth="1"/>
    <col min="12" max="12" width="10.453125" style="1" customWidth="1"/>
    <col min="13" max="13" width="11.7265625" style="1" customWidth="1"/>
    <col min="14" max="15" width="8.6328125" style="1"/>
    <col min="16" max="16" width="14" style="1" customWidth="1"/>
    <col min="17" max="17" width="14.7265625" style="1" customWidth="1"/>
    <col min="18" max="18" width="8.6328125" style="1"/>
    <col min="19" max="19" width="13.453125" style="1" customWidth="1"/>
    <col min="20" max="21" width="8.6328125" style="1"/>
    <col min="22" max="22" width="14.36328125" style="1" customWidth="1"/>
    <col min="23" max="23" width="16.26953125" style="1" customWidth="1"/>
    <col min="24" max="24" width="9.90625" style="1" customWidth="1"/>
    <col min="25" max="25" width="14.81640625" style="1" customWidth="1"/>
    <col min="26" max="27" width="8.6328125" style="1"/>
    <col min="28" max="28" width="13" style="1" customWidth="1"/>
    <col min="29" max="29" width="14.7265625" style="1" customWidth="1"/>
    <col min="30" max="30" width="10.453125" style="1" customWidth="1"/>
    <col min="31" max="31" width="16.81640625" style="1" customWidth="1"/>
    <col min="32" max="33" width="8.6328125" style="1"/>
    <col min="34" max="34" width="14.7265625" style="1" customWidth="1"/>
    <col min="35" max="35" width="14.81640625" style="1" customWidth="1"/>
    <col min="36" max="36" width="11.453125" style="1" customWidth="1"/>
    <col min="37" max="37" width="14.453125" style="1" customWidth="1"/>
    <col min="38" max="39" width="8.6328125" style="1"/>
    <col min="40" max="40" width="13.81640625" style="1" customWidth="1"/>
    <col min="41" max="41" width="13.453125" style="1" customWidth="1"/>
    <col min="42" max="42" width="11" style="1" customWidth="1"/>
    <col min="43" max="43" width="14.26953125" style="1" customWidth="1"/>
    <col min="44" max="16384" width="8.6328125" style="1"/>
  </cols>
  <sheetData>
    <row r="1" spans="2:7" ht="9.5" customHeight="1"/>
    <row r="2" spans="2:7" s="2" customFormat="1">
      <c r="B2" s="18" t="s">
        <v>113</v>
      </c>
    </row>
    <row r="3" spans="2:7" ht="29">
      <c r="B3" s="71" t="s">
        <v>114</v>
      </c>
      <c r="C3" s="71" t="s">
        <v>115</v>
      </c>
      <c r="D3" s="71" t="s">
        <v>116</v>
      </c>
      <c r="E3" s="71" t="s">
        <v>117</v>
      </c>
      <c r="F3" s="71" t="s">
        <v>118</v>
      </c>
      <c r="G3" s="71" t="s">
        <v>119</v>
      </c>
    </row>
    <row r="4" spans="2:7">
      <c r="B4" s="72" t="s">
        <v>120</v>
      </c>
      <c r="C4" s="73">
        <v>1125</v>
      </c>
      <c r="D4" s="73">
        <v>2</v>
      </c>
      <c r="E4" s="73">
        <v>2.25</v>
      </c>
      <c r="F4" s="73">
        <v>24</v>
      </c>
      <c r="G4" s="73">
        <v>54</v>
      </c>
    </row>
    <row r="5" spans="2:7">
      <c r="B5" s="72" t="s">
        <v>121</v>
      </c>
      <c r="C5" s="73">
        <v>1100</v>
      </c>
      <c r="D5" s="73">
        <v>2</v>
      </c>
      <c r="E5" s="73">
        <v>2.2000000000000002</v>
      </c>
      <c r="F5" s="73">
        <v>24</v>
      </c>
      <c r="G5" s="73">
        <v>52.8</v>
      </c>
    </row>
    <row r="6" spans="2:7">
      <c r="B6" s="72" t="s">
        <v>122</v>
      </c>
      <c r="C6" s="73">
        <v>1100</v>
      </c>
      <c r="D6" s="73">
        <v>8</v>
      </c>
      <c r="E6" s="73">
        <v>8.8000000000000007</v>
      </c>
      <c r="F6" s="73">
        <v>2</v>
      </c>
      <c r="G6" s="73">
        <v>35.200000000000003</v>
      </c>
    </row>
    <row r="7" spans="2:7">
      <c r="B7" s="72" t="s">
        <v>123</v>
      </c>
      <c r="C7" s="73">
        <v>1300</v>
      </c>
      <c r="D7" s="73">
        <v>3</v>
      </c>
      <c r="E7" s="73">
        <v>3.9</v>
      </c>
      <c r="F7" s="73">
        <v>2</v>
      </c>
      <c r="G7" s="73">
        <v>15.6</v>
      </c>
    </row>
    <row r="8" spans="2:7">
      <c r="B8" s="72" t="s">
        <v>124</v>
      </c>
      <c r="C8" s="73">
        <v>1100</v>
      </c>
      <c r="D8" s="73">
        <v>9</v>
      </c>
      <c r="E8" s="73">
        <v>9.9</v>
      </c>
      <c r="F8" s="73">
        <v>2</v>
      </c>
      <c r="G8" s="73">
        <v>39.6</v>
      </c>
    </row>
    <row r="9" spans="2:7">
      <c r="B9" s="72" t="s">
        <v>125</v>
      </c>
      <c r="C9" s="73"/>
      <c r="D9" s="73"/>
      <c r="E9" s="73">
        <v>27.05</v>
      </c>
      <c r="F9" s="73"/>
      <c r="G9" s="73">
        <v>197.2</v>
      </c>
    </row>
    <row r="10" spans="2:7">
      <c r="B10" s="72"/>
      <c r="C10" s="73"/>
      <c r="D10" s="73"/>
      <c r="E10" s="73"/>
      <c r="F10" s="73"/>
      <c r="G10" s="73"/>
    </row>
    <row r="11" spans="2:7">
      <c r="B11" s="72" t="s">
        <v>126</v>
      </c>
      <c r="C11" s="73">
        <v>32</v>
      </c>
      <c r="D11" s="73">
        <v>155</v>
      </c>
      <c r="E11" s="73">
        <v>4.96</v>
      </c>
      <c r="F11" s="73">
        <v>12</v>
      </c>
      <c r="G11" s="73">
        <v>59.52</v>
      </c>
    </row>
    <row r="12" spans="2:7">
      <c r="B12" s="72" t="s">
        <v>127</v>
      </c>
      <c r="C12" s="73">
        <v>13.5</v>
      </c>
      <c r="D12" s="73"/>
      <c r="E12" s="73"/>
      <c r="F12" s="73"/>
      <c r="G12" s="73"/>
    </row>
    <row r="13" spans="2:7">
      <c r="B13" s="72" t="s">
        <v>128</v>
      </c>
      <c r="C13" s="73"/>
      <c r="D13" s="73"/>
      <c r="E13" s="73"/>
      <c r="F13" s="73"/>
      <c r="G13" s="73"/>
    </row>
    <row r="14" spans="2:7">
      <c r="B14" s="72" t="s">
        <v>129</v>
      </c>
      <c r="C14" s="73"/>
      <c r="D14" s="73"/>
      <c r="E14" s="73">
        <v>4.96</v>
      </c>
      <c r="F14" s="73"/>
      <c r="G14" s="73">
        <v>59.52</v>
      </c>
    </row>
    <row r="15" spans="2:7">
      <c r="B15" s="72"/>
      <c r="C15" s="73"/>
      <c r="D15" s="73"/>
      <c r="E15" s="73"/>
      <c r="F15" s="73"/>
      <c r="G15" s="73"/>
    </row>
    <row r="16" spans="2:7">
      <c r="B16" s="72" t="s">
        <v>130</v>
      </c>
      <c r="C16" s="73">
        <v>22500</v>
      </c>
      <c r="D16" s="73"/>
      <c r="E16" s="73">
        <v>22.5</v>
      </c>
      <c r="F16" s="73">
        <v>12</v>
      </c>
      <c r="G16" s="73">
        <v>270</v>
      </c>
    </row>
    <row r="17" spans="2:7">
      <c r="B17" s="72" t="s">
        <v>131</v>
      </c>
      <c r="C17" s="73">
        <v>1782</v>
      </c>
      <c r="D17" s="73"/>
      <c r="E17" s="73">
        <v>1.782</v>
      </c>
      <c r="F17" s="73">
        <v>2</v>
      </c>
      <c r="G17" s="73">
        <v>3.5640000000000001</v>
      </c>
    </row>
    <row r="18" spans="2:7">
      <c r="B18" s="72" t="s">
        <v>132</v>
      </c>
      <c r="C18" s="73">
        <v>1100</v>
      </c>
      <c r="D18" s="73"/>
      <c r="E18" s="73">
        <v>1.1000000000000001</v>
      </c>
      <c r="F18" s="73">
        <v>2</v>
      </c>
      <c r="G18" s="73">
        <v>2.2000000000000002</v>
      </c>
    </row>
    <row r="19" spans="2:7">
      <c r="B19" s="72"/>
      <c r="C19" s="73"/>
      <c r="D19" s="73"/>
      <c r="E19" s="73"/>
      <c r="F19" s="73"/>
      <c r="G19" s="73"/>
    </row>
    <row r="20" spans="2:7">
      <c r="B20" s="72" t="s">
        <v>133</v>
      </c>
      <c r="C20" s="73">
        <v>700</v>
      </c>
      <c r="D20" s="73">
        <v>1</v>
      </c>
      <c r="E20" s="73">
        <v>0.7</v>
      </c>
      <c r="F20" s="73">
        <v>12</v>
      </c>
      <c r="G20" s="73">
        <v>8.4</v>
      </c>
    </row>
    <row r="21" spans="2:7">
      <c r="B21" s="72" t="s">
        <v>134</v>
      </c>
      <c r="C21" s="73">
        <v>158</v>
      </c>
      <c r="D21" s="73">
        <v>3</v>
      </c>
      <c r="E21" s="73">
        <v>0.47399999999999998</v>
      </c>
      <c r="F21" s="73">
        <v>12</v>
      </c>
      <c r="G21" s="73">
        <v>5.69</v>
      </c>
    </row>
    <row r="22" spans="2:7">
      <c r="B22" s="72" t="s">
        <v>135</v>
      </c>
      <c r="C22" s="73">
        <v>200</v>
      </c>
      <c r="D22" s="73">
        <v>6</v>
      </c>
      <c r="E22" s="73">
        <v>1.2</v>
      </c>
      <c r="F22" s="73">
        <v>12</v>
      </c>
      <c r="G22" s="73">
        <v>14.4</v>
      </c>
    </row>
    <row r="23" spans="2:7">
      <c r="B23" s="72" t="s">
        <v>136</v>
      </c>
      <c r="C23" s="73"/>
      <c r="D23" s="73"/>
      <c r="E23" s="73">
        <v>2.3740000000000001</v>
      </c>
      <c r="F23" s="73"/>
      <c r="G23" s="73">
        <v>28.49</v>
      </c>
    </row>
    <row r="24" spans="2:7">
      <c r="B24" s="71" t="s">
        <v>137</v>
      </c>
      <c r="C24" s="74"/>
      <c r="D24" s="74"/>
      <c r="E24" s="74">
        <v>59.8</v>
      </c>
      <c r="F24" s="74"/>
      <c r="G24" s="74">
        <v>561</v>
      </c>
    </row>
    <row r="26" spans="2:7">
      <c r="B26" s="18" t="s">
        <v>138</v>
      </c>
      <c r="C26" s="2"/>
      <c r="D26" s="2"/>
      <c r="E26" s="2"/>
    </row>
    <row r="27" spans="2:7" ht="29">
      <c r="B27" s="9" t="s">
        <v>114</v>
      </c>
      <c r="C27" s="9" t="s">
        <v>115</v>
      </c>
      <c r="D27" s="9" t="s">
        <v>139</v>
      </c>
      <c r="E27" s="9" t="s">
        <v>140</v>
      </c>
    </row>
    <row r="28" spans="2:7">
      <c r="B28" s="72" t="s">
        <v>120</v>
      </c>
      <c r="C28" s="73">
        <v>1125</v>
      </c>
      <c r="D28" s="73">
        <v>1</v>
      </c>
      <c r="E28" s="73">
        <v>1125</v>
      </c>
    </row>
    <row r="29" spans="2:7">
      <c r="B29" s="72" t="s">
        <v>121</v>
      </c>
      <c r="C29" s="73">
        <v>1100</v>
      </c>
      <c r="D29" s="73">
        <v>1</v>
      </c>
      <c r="E29" s="73">
        <v>1100</v>
      </c>
    </row>
    <row r="30" spans="2:7">
      <c r="B30" s="72" t="s">
        <v>122</v>
      </c>
      <c r="C30" s="73">
        <v>1100</v>
      </c>
      <c r="D30" s="73">
        <v>9</v>
      </c>
      <c r="E30" s="73">
        <v>9900</v>
      </c>
    </row>
    <row r="31" spans="2:7">
      <c r="B31" s="72" t="s">
        <v>123</v>
      </c>
      <c r="C31" s="73">
        <v>1300</v>
      </c>
      <c r="D31" s="73">
        <v>2</v>
      </c>
      <c r="E31" s="73">
        <v>2600</v>
      </c>
    </row>
    <row r="32" spans="2:7">
      <c r="B32" s="72" t="s">
        <v>124</v>
      </c>
      <c r="C32" s="73">
        <v>1100</v>
      </c>
      <c r="D32" s="73">
        <v>3</v>
      </c>
      <c r="E32" s="73">
        <v>3300</v>
      </c>
    </row>
    <row r="33" spans="2:5">
      <c r="B33" s="72" t="s">
        <v>125</v>
      </c>
      <c r="C33" s="73"/>
      <c r="D33" s="73"/>
      <c r="E33" s="73">
        <v>18025</v>
      </c>
    </row>
    <row r="34" spans="2:5">
      <c r="B34" s="72"/>
      <c r="C34" s="73"/>
      <c r="D34" s="73"/>
      <c r="E34" s="73"/>
    </row>
    <row r="35" spans="2:5">
      <c r="B35" s="72" t="s">
        <v>126</v>
      </c>
      <c r="C35" s="73">
        <v>32</v>
      </c>
      <c r="D35" s="73"/>
      <c r="E35" s="73"/>
    </row>
    <row r="36" spans="2:5">
      <c r="B36" s="72" t="s">
        <v>127</v>
      </c>
      <c r="C36" s="73">
        <v>13.5</v>
      </c>
      <c r="D36" s="73"/>
      <c r="E36" s="73"/>
    </row>
    <row r="37" spans="2:5">
      <c r="B37" s="72" t="s">
        <v>128</v>
      </c>
      <c r="C37" s="73">
        <v>60</v>
      </c>
      <c r="D37" s="73">
        <v>120</v>
      </c>
      <c r="E37" s="73">
        <v>7200</v>
      </c>
    </row>
    <row r="38" spans="2:5">
      <c r="B38" s="72" t="s">
        <v>129</v>
      </c>
      <c r="C38" s="73"/>
      <c r="D38" s="73"/>
      <c r="E38" s="73">
        <v>7200</v>
      </c>
    </row>
    <row r="39" spans="2:5">
      <c r="B39" s="72"/>
      <c r="C39" s="73"/>
      <c r="D39" s="73"/>
      <c r="E39" s="73"/>
    </row>
    <row r="40" spans="2:5">
      <c r="B40" s="72" t="s">
        <v>130</v>
      </c>
      <c r="C40" s="73">
        <v>5500</v>
      </c>
      <c r="D40" s="73"/>
      <c r="E40" s="73">
        <v>5500</v>
      </c>
    </row>
    <row r="41" spans="2:5">
      <c r="B41" s="72" t="s">
        <v>131</v>
      </c>
      <c r="C41" s="73">
        <v>1782</v>
      </c>
      <c r="D41" s="73"/>
      <c r="E41" s="73">
        <v>1782</v>
      </c>
    </row>
    <row r="42" spans="2:5">
      <c r="B42" s="72" t="s">
        <v>132</v>
      </c>
      <c r="C42" s="73">
        <v>1100</v>
      </c>
      <c r="D42" s="73"/>
      <c r="E42" s="73">
        <v>1100</v>
      </c>
    </row>
    <row r="43" spans="2:5">
      <c r="B43" s="72"/>
      <c r="C43" s="73"/>
      <c r="D43" s="73"/>
      <c r="E43" s="73"/>
    </row>
    <row r="44" spans="2:5">
      <c r="B44" s="72" t="s">
        <v>133</v>
      </c>
      <c r="C44" s="73">
        <v>700</v>
      </c>
      <c r="D44" s="73">
        <v>1</v>
      </c>
      <c r="E44" s="73">
        <v>700</v>
      </c>
    </row>
    <row r="45" spans="2:5">
      <c r="B45" s="72" t="s">
        <v>134</v>
      </c>
      <c r="C45" s="73">
        <v>158</v>
      </c>
      <c r="D45" s="73">
        <v>2</v>
      </c>
      <c r="E45" s="73">
        <v>316</v>
      </c>
    </row>
    <row r="46" spans="2:5">
      <c r="B46" s="72" t="s">
        <v>135</v>
      </c>
      <c r="C46" s="73">
        <v>200</v>
      </c>
      <c r="D46" s="73">
        <v>4</v>
      </c>
      <c r="E46" s="73">
        <v>800</v>
      </c>
    </row>
    <row r="47" spans="2:5">
      <c r="B47" s="72" t="s">
        <v>136</v>
      </c>
      <c r="C47" s="73"/>
      <c r="D47" s="73"/>
      <c r="E47" s="73">
        <v>1816</v>
      </c>
    </row>
    <row r="48" spans="2:5">
      <c r="B48" s="71" t="s">
        <v>137</v>
      </c>
      <c r="C48" s="74"/>
      <c r="D48" s="74"/>
      <c r="E48" s="74">
        <v>35423</v>
      </c>
    </row>
    <row r="50" spans="2:5">
      <c r="B50" s="18" t="s">
        <v>141</v>
      </c>
      <c r="C50" s="2"/>
      <c r="D50" s="2"/>
      <c r="E50" s="2"/>
    </row>
    <row r="51" spans="2:5" ht="29">
      <c r="B51" s="71" t="s">
        <v>114</v>
      </c>
      <c r="C51" s="71" t="s">
        <v>115</v>
      </c>
      <c r="D51" s="71" t="s">
        <v>139</v>
      </c>
      <c r="E51" s="71" t="s">
        <v>140</v>
      </c>
    </row>
    <row r="52" spans="2:5">
      <c r="B52" s="72" t="s">
        <v>120</v>
      </c>
      <c r="C52" s="73">
        <v>1125</v>
      </c>
      <c r="D52" s="73">
        <v>2</v>
      </c>
      <c r="E52" s="73">
        <v>2250</v>
      </c>
    </row>
    <row r="53" spans="2:5">
      <c r="B53" s="72" t="s">
        <v>121</v>
      </c>
      <c r="C53" s="73">
        <v>1100</v>
      </c>
      <c r="D53" s="73">
        <v>1</v>
      </c>
      <c r="E53" s="73">
        <v>1100</v>
      </c>
    </row>
    <row r="54" spans="2:5">
      <c r="B54" s="72" t="s">
        <v>122</v>
      </c>
      <c r="C54" s="73">
        <v>1100</v>
      </c>
      <c r="D54" s="73">
        <v>5</v>
      </c>
      <c r="E54" s="73">
        <v>5500</v>
      </c>
    </row>
    <row r="55" spans="2:5">
      <c r="B55" s="72" t="s">
        <v>123</v>
      </c>
      <c r="C55" s="73">
        <v>1300</v>
      </c>
      <c r="D55" s="73">
        <v>6</v>
      </c>
      <c r="E55" s="73">
        <v>7800</v>
      </c>
    </row>
    <row r="56" spans="2:5">
      <c r="B56" s="72" t="s">
        <v>124</v>
      </c>
      <c r="C56" s="73">
        <v>1100</v>
      </c>
      <c r="D56" s="73">
        <v>8</v>
      </c>
      <c r="E56" s="73">
        <v>8800</v>
      </c>
    </row>
    <row r="57" spans="2:5">
      <c r="B57" s="72" t="s">
        <v>125</v>
      </c>
      <c r="C57" s="73"/>
      <c r="D57" s="73"/>
      <c r="E57" s="73">
        <v>25450</v>
      </c>
    </row>
    <row r="58" spans="2:5">
      <c r="B58" s="72"/>
      <c r="C58" s="73"/>
      <c r="D58" s="73"/>
      <c r="E58" s="73"/>
    </row>
    <row r="59" spans="2:5">
      <c r="B59" s="72" t="s">
        <v>126</v>
      </c>
      <c r="C59" s="73">
        <v>32</v>
      </c>
      <c r="D59" s="73">
        <v>210</v>
      </c>
      <c r="E59" s="73">
        <v>6720</v>
      </c>
    </row>
    <row r="60" spans="2:5">
      <c r="B60" s="72" t="s">
        <v>127</v>
      </c>
      <c r="C60" s="73">
        <v>13.5</v>
      </c>
      <c r="D60" s="73"/>
      <c r="E60" s="73"/>
    </row>
    <row r="61" spans="2:5">
      <c r="B61" s="72" t="s">
        <v>128</v>
      </c>
      <c r="C61" s="73">
        <v>60</v>
      </c>
      <c r="D61" s="73"/>
      <c r="E61" s="73"/>
    </row>
    <row r="62" spans="2:5">
      <c r="B62" s="72" t="s">
        <v>129</v>
      </c>
      <c r="C62" s="73"/>
      <c r="D62" s="73"/>
      <c r="E62" s="73">
        <v>6720</v>
      </c>
    </row>
    <row r="63" spans="2:5">
      <c r="B63" s="72"/>
      <c r="C63" s="73"/>
      <c r="D63" s="73"/>
      <c r="E63" s="73"/>
    </row>
    <row r="64" spans="2:5">
      <c r="B64" s="72" t="s">
        <v>130</v>
      </c>
      <c r="C64" s="73">
        <v>4644</v>
      </c>
      <c r="D64" s="73"/>
      <c r="E64" s="73">
        <v>4644</v>
      </c>
    </row>
    <row r="65" spans="2:5">
      <c r="B65" s="72" t="s">
        <v>131</v>
      </c>
      <c r="C65" s="73">
        <v>1782</v>
      </c>
      <c r="D65" s="73"/>
      <c r="E65" s="73">
        <v>1782</v>
      </c>
    </row>
    <row r="66" spans="2:5">
      <c r="B66" s="72" t="s">
        <v>132</v>
      </c>
      <c r="C66" s="73">
        <v>1100</v>
      </c>
      <c r="D66" s="73"/>
      <c r="E66" s="73">
        <v>1100</v>
      </c>
    </row>
    <row r="67" spans="2:5">
      <c r="B67" s="72"/>
      <c r="C67" s="73"/>
      <c r="D67" s="73"/>
      <c r="E67" s="73"/>
    </row>
    <row r="68" spans="2:5">
      <c r="B68" s="72" t="s">
        <v>133</v>
      </c>
      <c r="C68" s="73">
        <v>700</v>
      </c>
      <c r="D68" s="73">
        <v>1</v>
      </c>
      <c r="E68" s="73">
        <v>700</v>
      </c>
    </row>
    <row r="69" spans="2:5">
      <c r="B69" s="72" t="s">
        <v>134</v>
      </c>
      <c r="C69" s="73">
        <v>158</v>
      </c>
      <c r="D69" s="73">
        <v>5</v>
      </c>
      <c r="E69" s="73">
        <v>790</v>
      </c>
    </row>
    <row r="70" spans="2:5">
      <c r="B70" s="72" t="s">
        <v>135</v>
      </c>
      <c r="C70" s="73">
        <v>200</v>
      </c>
      <c r="D70" s="73">
        <v>6</v>
      </c>
      <c r="E70" s="73">
        <v>1200</v>
      </c>
    </row>
    <row r="71" spans="2:5">
      <c r="B71" s="72" t="s">
        <v>136</v>
      </c>
      <c r="C71" s="73"/>
      <c r="D71" s="73"/>
      <c r="E71" s="73">
        <v>2690</v>
      </c>
    </row>
    <row r="72" spans="2:5">
      <c r="B72" s="71" t="s">
        <v>137</v>
      </c>
      <c r="C72" s="74"/>
      <c r="D72" s="74"/>
      <c r="E72" s="74">
        <v>44340</v>
      </c>
    </row>
    <row r="74" spans="2:5">
      <c r="B74" s="18" t="s">
        <v>142</v>
      </c>
      <c r="C74" s="2"/>
      <c r="D74" s="2"/>
      <c r="E74" s="2"/>
    </row>
    <row r="75" spans="2:5" ht="29">
      <c r="B75" s="71" t="s">
        <v>114</v>
      </c>
      <c r="C75" s="71" t="s">
        <v>115</v>
      </c>
      <c r="D75" s="71" t="s">
        <v>139</v>
      </c>
      <c r="E75" s="71" t="s">
        <v>140</v>
      </c>
    </row>
    <row r="76" spans="2:5">
      <c r="B76" s="72" t="s">
        <v>120</v>
      </c>
      <c r="C76" s="73">
        <v>1125</v>
      </c>
      <c r="D76" s="73">
        <v>2</v>
      </c>
      <c r="E76" s="73">
        <v>2250</v>
      </c>
    </row>
    <row r="77" spans="2:5">
      <c r="B77" s="72" t="s">
        <v>121</v>
      </c>
      <c r="C77" s="73">
        <v>1100</v>
      </c>
      <c r="D77" s="73">
        <v>4</v>
      </c>
      <c r="E77" s="73">
        <v>4400</v>
      </c>
    </row>
    <row r="78" spans="2:5">
      <c r="B78" s="72" t="s">
        <v>122</v>
      </c>
      <c r="C78" s="73">
        <v>1100</v>
      </c>
      <c r="D78" s="73">
        <v>1</v>
      </c>
      <c r="E78" s="73">
        <v>1100</v>
      </c>
    </row>
    <row r="79" spans="2:5">
      <c r="B79" s="72" t="s">
        <v>123</v>
      </c>
      <c r="C79" s="73">
        <v>1300</v>
      </c>
      <c r="D79" s="73">
        <v>5</v>
      </c>
      <c r="E79" s="73">
        <v>6500</v>
      </c>
    </row>
    <row r="80" spans="2:5">
      <c r="B80" s="72" t="s">
        <v>124</v>
      </c>
      <c r="C80" s="73">
        <v>1100</v>
      </c>
      <c r="D80" s="73">
        <v>8</v>
      </c>
      <c r="E80" s="73">
        <v>8800</v>
      </c>
    </row>
    <row r="81" spans="2:18">
      <c r="B81" s="72" t="s">
        <v>125</v>
      </c>
      <c r="C81" s="73"/>
      <c r="D81" s="73"/>
      <c r="E81" s="73">
        <v>23050</v>
      </c>
    </row>
    <row r="82" spans="2:18">
      <c r="B82" s="72"/>
      <c r="C82" s="73"/>
      <c r="D82" s="73"/>
      <c r="E82" s="73"/>
    </row>
    <row r="83" spans="2:18">
      <c r="B83" s="72" t="s">
        <v>126</v>
      </c>
      <c r="C83" s="73">
        <v>32</v>
      </c>
      <c r="D83" s="73">
        <v>150</v>
      </c>
      <c r="E83" s="73">
        <v>4800</v>
      </c>
      <c r="K83" s="2"/>
      <c r="L83" s="2"/>
      <c r="Q83" s="2"/>
      <c r="R83" s="2"/>
    </row>
    <row r="84" spans="2:18">
      <c r="B84" s="72" t="s">
        <v>127</v>
      </c>
      <c r="C84" s="73">
        <v>13.5</v>
      </c>
      <c r="D84" s="73"/>
      <c r="E84" s="73"/>
    </row>
    <row r="85" spans="2:18">
      <c r="B85" s="72" t="s">
        <v>128</v>
      </c>
      <c r="C85" s="73">
        <v>60</v>
      </c>
      <c r="D85" s="73"/>
      <c r="E85" s="73"/>
    </row>
    <row r="86" spans="2:18">
      <c r="B86" s="72" t="s">
        <v>129</v>
      </c>
      <c r="C86" s="73"/>
      <c r="D86" s="73"/>
      <c r="E86" s="73">
        <v>4800</v>
      </c>
    </row>
    <row r="87" spans="2:18">
      <c r="B87" s="72"/>
      <c r="C87" s="73"/>
      <c r="D87" s="73"/>
      <c r="E87" s="73"/>
    </row>
    <row r="88" spans="2:18">
      <c r="B88" s="72" t="s">
        <v>130</v>
      </c>
      <c r="C88" s="73">
        <v>9143</v>
      </c>
      <c r="D88" s="73"/>
      <c r="E88" s="73">
        <v>9143</v>
      </c>
    </row>
    <row r="89" spans="2:18">
      <c r="B89" s="72" t="s">
        <v>131</v>
      </c>
      <c r="C89" s="73">
        <v>1782</v>
      </c>
      <c r="D89" s="73"/>
      <c r="E89" s="73">
        <v>1782</v>
      </c>
    </row>
    <row r="90" spans="2:18">
      <c r="B90" s="72" t="s">
        <v>132</v>
      </c>
      <c r="C90" s="73">
        <v>1100</v>
      </c>
      <c r="D90" s="73"/>
      <c r="E90" s="73">
        <v>1100</v>
      </c>
    </row>
    <row r="91" spans="2:18">
      <c r="B91" s="72"/>
      <c r="C91" s="73"/>
      <c r="D91" s="73"/>
      <c r="E91" s="73"/>
    </row>
    <row r="92" spans="2:18">
      <c r="B92" s="72" t="s">
        <v>133</v>
      </c>
      <c r="C92" s="73">
        <v>700</v>
      </c>
      <c r="D92" s="73">
        <v>1</v>
      </c>
      <c r="E92" s="73">
        <v>700</v>
      </c>
    </row>
    <row r="93" spans="2:18">
      <c r="B93" s="72" t="s">
        <v>134</v>
      </c>
      <c r="C93" s="73">
        <v>158</v>
      </c>
      <c r="D93" s="73">
        <v>3</v>
      </c>
      <c r="E93" s="73">
        <v>474</v>
      </c>
    </row>
    <row r="94" spans="2:18">
      <c r="B94" s="72" t="s">
        <v>135</v>
      </c>
      <c r="C94" s="73">
        <v>200</v>
      </c>
      <c r="D94" s="73">
        <v>5</v>
      </c>
      <c r="E94" s="73">
        <v>1000</v>
      </c>
    </row>
    <row r="95" spans="2:18">
      <c r="B95" s="72" t="s">
        <v>136</v>
      </c>
      <c r="C95" s="73"/>
      <c r="D95" s="73"/>
      <c r="E95" s="73">
        <v>2174</v>
      </c>
    </row>
    <row r="96" spans="2:18">
      <c r="B96" s="71" t="s">
        <v>137</v>
      </c>
      <c r="C96" s="74"/>
      <c r="D96" s="74"/>
      <c r="E96" s="74">
        <v>42049</v>
      </c>
    </row>
    <row r="98" spans="2:5">
      <c r="B98" s="18" t="s">
        <v>143</v>
      </c>
      <c r="C98" s="2"/>
      <c r="D98" s="2"/>
      <c r="E98" s="2"/>
    </row>
    <row r="99" spans="2:5" ht="29">
      <c r="B99" s="71" t="s">
        <v>114</v>
      </c>
      <c r="C99" s="71" t="s">
        <v>115</v>
      </c>
      <c r="D99" s="71" t="s">
        <v>139</v>
      </c>
      <c r="E99" s="71" t="s">
        <v>140</v>
      </c>
    </row>
    <row r="100" spans="2:5">
      <c r="B100" s="73" t="s">
        <v>208</v>
      </c>
      <c r="C100" s="73">
        <v>1125</v>
      </c>
      <c r="D100" s="73">
        <v>5</v>
      </c>
      <c r="E100" s="73">
        <v>5625</v>
      </c>
    </row>
    <row r="101" spans="2:5">
      <c r="B101" s="73" t="s">
        <v>121</v>
      </c>
      <c r="C101" s="73">
        <v>1100</v>
      </c>
      <c r="D101" s="73">
        <v>2</v>
      </c>
      <c r="E101" s="73">
        <v>2200</v>
      </c>
    </row>
    <row r="102" spans="2:5">
      <c r="B102" s="73" t="s">
        <v>122</v>
      </c>
      <c r="C102" s="73">
        <v>1100</v>
      </c>
      <c r="D102" s="73">
        <v>3</v>
      </c>
      <c r="E102" s="73">
        <v>3300</v>
      </c>
    </row>
    <row r="103" spans="2:5">
      <c r="B103" s="73" t="s">
        <v>123</v>
      </c>
      <c r="C103" s="73">
        <v>1300</v>
      </c>
      <c r="D103" s="73">
        <v>6</v>
      </c>
      <c r="E103" s="73">
        <v>7800</v>
      </c>
    </row>
    <row r="104" spans="2:5">
      <c r="B104" s="73" t="s">
        <v>124</v>
      </c>
      <c r="C104" s="73">
        <v>1100</v>
      </c>
      <c r="D104" s="73">
        <v>15</v>
      </c>
      <c r="E104" s="73">
        <v>16500</v>
      </c>
    </row>
    <row r="105" spans="2:5">
      <c r="B105" s="73" t="s">
        <v>125</v>
      </c>
      <c r="C105" s="73"/>
      <c r="D105" s="73"/>
      <c r="E105" s="73">
        <v>35425</v>
      </c>
    </row>
    <row r="106" spans="2:5">
      <c r="B106" s="73"/>
      <c r="C106" s="73"/>
      <c r="D106" s="73"/>
      <c r="E106" s="73"/>
    </row>
    <row r="107" spans="2:5">
      <c r="B107" s="73" t="s">
        <v>126</v>
      </c>
      <c r="C107" s="73">
        <v>32</v>
      </c>
      <c r="D107" s="73">
        <v>165</v>
      </c>
      <c r="E107" s="73">
        <v>5280</v>
      </c>
    </row>
    <row r="108" spans="2:5">
      <c r="B108" s="73" t="s">
        <v>127</v>
      </c>
      <c r="C108" s="73">
        <v>13.5</v>
      </c>
      <c r="D108" s="73">
        <v>56</v>
      </c>
      <c r="E108" s="73">
        <v>756</v>
      </c>
    </row>
    <row r="109" spans="2:5">
      <c r="B109" s="73" t="s">
        <v>128</v>
      </c>
      <c r="C109" s="73"/>
      <c r="D109" s="73"/>
      <c r="E109" s="73"/>
    </row>
    <row r="110" spans="2:5">
      <c r="B110" s="73" t="s">
        <v>129</v>
      </c>
      <c r="C110" s="73"/>
      <c r="D110" s="73"/>
      <c r="E110" s="73">
        <v>6036</v>
      </c>
    </row>
    <row r="111" spans="2:5">
      <c r="B111" s="73"/>
      <c r="C111" s="73"/>
      <c r="D111" s="73"/>
      <c r="E111" s="73"/>
    </row>
    <row r="112" spans="2:5">
      <c r="B112" s="73" t="s">
        <v>130</v>
      </c>
      <c r="C112" s="73">
        <v>7815</v>
      </c>
      <c r="D112" s="73"/>
      <c r="E112" s="73">
        <v>7815</v>
      </c>
    </row>
    <row r="113" spans="2:5">
      <c r="B113" s="73" t="s">
        <v>131</v>
      </c>
      <c r="C113" s="73">
        <v>1782</v>
      </c>
      <c r="D113" s="73"/>
      <c r="E113" s="73">
        <v>1782</v>
      </c>
    </row>
    <row r="114" spans="2:5">
      <c r="B114" s="73" t="s">
        <v>132</v>
      </c>
      <c r="C114" s="73">
        <v>1100</v>
      </c>
      <c r="D114" s="73"/>
      <c r="E114" s="73">
        <v>1100</v>
      </c>
    </row>
    <row r="115" spans="2:5">
      <c r="B115" s="73"/>
      <c r="C115" s="73"/>
      <c r="D115" s="73"/>
      <c r="E115" s="73"/>
    </row>
    <row r="116" spans="2:5">
      <c r="B116" s="73" t="s">
        <v>133</v>
      </c>
      <c r="C116" s="73">
        <v>700</v>
      </c>
      <c r="D116" s="73">
        <v>1</v>
      </c>
      <c r="E116" s="73">
        <v>700</v>
      </c>
    </row>
    <row r="117" spans="2:5">
      <c r="B117" s="73" t="s">
        <v>134</v>
      </c>
      <c r="C117" s="73">
        <v>158</v>
      </c>
      <c r="D117" s="73">
        <v>4</v>
      </c>
      <c r="E117" s="73">
        <v>632</v>
      </c>
    </row>
    <row r="118" spans="2:5">
      <c r="B118" s="73" t="s">
        <v>135</v>
      </c>
      <c r="C118" s="73">
        <v>200</v>
      </c>
      <c r="D118" s="73">
        <v>8</v>
      </c>
      <c r="E118" s="73">
        <v>1700</v>
      </c>
    </row>
    <row r="119" spans="2:5">
      <c r="B119" s="73" t="s">
        <v>136</v>
      </c>
      <c r="C119" s="73"/>
      <c r="D119" s="73"/>
      <c r="E119" s="73">
        <v>3032</v>
      </c>
    </row>
    <row r="120" spans="2:5">
      <c r="B120" s="74" t="s">
        <v>137</v>
      </c>
      <c r="C120" s="74"/>
      <c r="D120" s="74"/>
      <c r="E120" s="74">
        <v>55190</v>
      </c>
    </row>
    <row r="122" spans="2:5">
      <c r="B122" s="18" t="s">
        <v>144</v>
      </c>
      <c r="C122" s="2"/>
      <c r="D122" s="2"/>
      <c r="E122" s="2"/>
    </row>
    <row r="123" spans="2:5" ht="29">
      <c r="B123" s="71" t="s">
        <v>114</v>
      </c>
      <c r="C123" s="71" t="s">
        <v>115</v>
      </c>
      <c r="D123" s="71" t="s">
        <v>139</v>
      </c>
      <c r="E123" s="71" t="s">
        <v>140</v>
      </c>
    </row>
    <row r="124" spans="2:5">
      <c r="B124" s="72" t="s">
        <v>120</v>
      </c>
      <c r="C124" s="73">
        <v>1125</v>
      </c>
      <c r="D124" s="73">
        <v>4</v>
      </c>
      <c r="E124" s="73">
        <v>4500</v>
      </c>
    </row>
    <row r="125" spans="2:5">
      <c r="B125" s="72" t="s">
        <v>121</v>
      </c>
      <c r="C125" s="73">
        <v>1100</v>
      </c>
      <c r="D125" s="73">
        <v>2</v>
      </c>
      <c r="E125" s="73">
        <v>2200</v>
      </c>
    </row>
    <row r="126" spans="2:5">
      <c r="B126" s="72" t="s">
        <v>122</v>
      </c>
      <c r="C126" s="73">
        <v>1100</v>
      </c>
      <c r="D126" s="73">
        <v>4</v>
      </c>
      <c r="E126" s="73">
        <v>4400</v>
      </c>
    </row>
    <row r="127" spans="2:5">
      <c r="B127" s="72" t="s">
        <v>123</v>
      </c>
      <c r="C127" s="73">
        <v>1300</v>
      </c>
      <c r="D127" s="73">
        <v>7</v>
      </c>
      <c r="E127" s="73">
        <v>9100</v>
      </c>
    </row>
    <row r="128" spans="2:5">
      <c r="B128" s="72" t="s">
        <v>124</v>
      </c>
      <c r="C128" s="73">
        <v>1100</v>
      </c>
      <c r="D128" s="73">
        <v>6</v>
      </c>
      <c r="E128" s="73">
        <v>6600</v>
      </c>
    </row>
    <row r="129" spans="2:5">
      <c r="B129" s="72" t="s">
        <v>125</v>
      </c>
      <c r="C129" s="73"/>
      <c r="D129" s="73"/>
      <c r="E129" s="73">
        <v>26800</v>
      </c>
    </row>
    <row r="130" spans="2:5">
      <c r="B130" s="72"/>
      <c r="C130" s="73"/>
      <c r="D130" s="73"/>
      <c r="E130" s="73"/>
    </row>
    <row r="131" spans="2:5">
      <c r="B131" s="72" t="s">
        <v>126</v>
      </c>
      <c r="C131" s="73">
        <v>32</v>
      </c>
      <c r="D131" s="73">
        <v>250</v>
      </c>
      <c r="E131" s="73">
        <v>8000</v>
      </c>
    </row>
    <row r="132" spans="2:5">
      <c r="B132" s="72" t="s">
        <v>127</v>
      </c>
      <c r="C132" s="73">
        <v>13.5</v>
      </c>
      <c r="D132" s="73"/>
      <c r="E132" s="73"/>
    </row>
    <row r="133" spans="2:5">
      <c r="B133" s="72" t="s">
        <v>128</v>
      </c>
      <c r="C133" s="73"/>
      <c r="D133" s="73"/>
      <c r="E133" s="73"/>
    </row>
    <row r="134" spans="2:5">
      <c r="B134" s="72" t="s">
        <v>129</v>
      </c>
      <c r="C134" s="73"/>
      <c r="D134" s="73"/>
      <c r="E134" s="73">
        <v>8000</v>
      </c>
    </row>
    <row r="135" spans="2:5">
      <c r="B135" s="72"/>
      <c r="C135" s="73"/>
      <c r="D135" s="73"/>
      <c r="E135" s="73"/>
    </row>
    <row r="136" spans="2:5">
      <c r="B136" s="72" t="s">
        <v>130</v>
      </c>
      <c r="C136" s="73">
        <v>9800</v>
      </c>
      <c r="D136" s="73"/>
      <c r="E136" s="73">
        <v>9800</v>
      </c>
    </row>
    <row r="137" spans="2:5">
      <c r="B137" s="72" t="s">
        <v>131</v>
      </c>
      <c r="C137" s="73">
        <v>1782</v>
      </c>
      <c r="D137" s="73"/>
      <c r="E137" s="73">
        <v>1782</v>
      </c>
    </row>
    <row r="138" spans="2:5">
      <c r="B138" s="72" t="s">
        <v>132</v>
      </c>
      <c r="C138" s="73">
        <v>1100</v>
      </c>
      <c r="D138" s="73"/>
      <c r="E138" s="73">
        <v>1100</v>
      </c>
    </row>
    <row r="139" spans="2:5">
      <c r="B139" s="72"/>
      <c r="C139" s="73"/>
      <c r="D139" s="73"/>
      <c r="E139" s="73"/>
    </row>
    <row r="140" spans="2:5">
      <c r="B140" s="72" t="s">
        <v>133</v>
      </c>
      <c r="C140" s="73">
        <v>700</v>
      </c>
      <c r="D140" s="73">
        <v>1</v>
      </c>
      <c r="E140" s="73">
        <v>700</v>
      </c>
    </row>
    <row r="141" spans="2:5">
      <c r="B141" s="72" t="s">
        <v>134</v>
      </c>
      <c r="C141" s="73">
        <v>158</v>
      </c>
      <c r="D141" s="73">
        <v>3</v>
      </c>
      <c r="E141" s="73">
        <v>474</v>
      </c>
    </row>
    <row r="142" spans="2:5">
      <c r="B142" s="72" t="s">
        <v>135</v>
      </c>
      <c r="C142" s="73">
        <v>200</v>
      </c>
      <c r="D142" s="73">
        <v>7</v>
      </c>
      <c r="E142" s="73">
        <v>1400</v>
      </c>
    </row>
    <row r="143" spans="2:5">
      <c r="B143" s="72" t="s">
        <v>136</v>
      </c>
      <c r="C143" s="73"/>
      <c r="D143" s="73"/>
      <c r="E143" s="73">
        <v>4290</v>
      </c>
    </row>
    <row r="144" spans="2:5">
      <c r="B144" s="71" t="s">
        <v>137</v>
      </c>
      <c r="C144" s="74"/>
      <c r="D144" s="74"/>
      <c r="E144" s="74">
        <v>51772</v>
      </c>
    </row>
    <row r="146" spans="2:5">
      <c r="B146" s="18" t="s">
        <v>145</v>
      </c>
      <c r="C146" s="2"/>
      <c r="D146" s="2"/>
      <c r="E146" s="2"/>
    </row>
    <row r="147" spans="2:5" ht="29">
      <c r="B147" s="74" t="s">
        <v>114</v>
      </c>
      <c r="C147" s="74" t="s">
        <v>115</v>
      </c>
      <c r="D147" s="74" t="s">
        <v>139</v>
      </c>
      <c r="E147" s="74" t="s">
        <v>140</v>
      </c>
    </row>
    <row r="148" spans="2:5">
      <c r="B148" s="73" t="s">
        <v>120</v>
      </c>
      <c r="C148" s="73">
        <v>1125</v>
      </c>
      <c r="D148" s="73">
        <v>6</v>
      </c>
      <c r="E148" s="73">
        <v>6750</v>
      </c>
    </row>
    <row r="149" spans="2:5">
      <c r="B149" s="73" t="s">
        <v>121</v>
      </c>
      <c r="C149" s="73">
        <v>1100</v>
      </c>
      <c r="D149" s="73">
        <v>7</v>
      </c>
      <c r="E149" s="73">
        <v>7700</v>
      </c>
    </row>
    <row r="150" spans="2:5">
      <c r="B150" s="73" t="s">
        <v>122</v>
      </c>
      <c r="C150" s="73">
        <v>1100</v>
      </c>
      <c r="D150" s="73">
        <v>7</v>
      </c>
      <c r="E150" s="73">
        <v>7700</v>
      </c>
    </row>
    <row r="151" spans="2:5">
      <c r="B151" s="73" t="s">
        <v>123</v>
      </c>
      <c r="C151" s="73">
        <v>1300</v>
      </c>
      <c r="D151" s="73">
        <v>1</v>
      </c>
      <c r="E151" s="73">
        <v>1300</v>
      </c>
    </row>
    <row r="152" spans="2:5">
      <c r="B152" s="73" t="s">
        <v>124</v>
      </c>
      <c r="C152" s="73">
        <v>1100</v>
      </c>
      <c r="D152" s="73">
        <v>2</v>
      </c>
      <c r="E152" s="73">
        <v>2200</v>
      </c>
    </row>
    <row r="153" spans="2:5">
      <c r="B153" s="73" t="s">
        <v>125</v>
      </c>
      <c r="C153" s="73"/>
      <c r="D153" s="73"/>
      <c r="E153" s="73">
        <v>25650</v>
      </c>
    </row>
    <row r="154" spans="2:5">
      <c r="B154" s="73"/>
      <c r="C154" s="73"/>
      <c r="D154" s="73"/>
      <c r="E154" s="73"/>
    </row>
    <row r="155" spans="2:5">
      <c r="B155" s="73" t="s">
        <v>126</v>
      </c>
      <c r="C155" s="73">
        <v>32</v>
      </c>
      <c r="D155" s="73">
        <v>110</v>
      </c>
      <c r="E155" s="73">
        <v>3520</v>
      </c>
    </row>
    <row r="156" spans="2:5">
      <c r="B156" s="73" t="s">
        <v>127</v>
      </c>
      <c r="C156" s="73">
        <v>13.5</v>
      </c>
      <c r="D156" s="73"/>
      <c r="E156" s="73"/>
    </row>
    <row r="157" spans="2:5">
      <c r="B157" s="73" t="s">
        <v>128</v>
      </c>
      <c r="C157" s="73"/>
      <c r="D157" s="73"/>
      <c r="E157" s="73"/>
    </row>
    <row r="158" spans="2:5">
      <c r="B158" s="73" t="s">
        <v>129</v>
      </c>
      <c r="C158" s="73"/>
      <c r="D158" s="73"/>
      <c r="E158" s="73">
        <v>3520</v>
      </c>
    </row>
    <row r="159" spans="2:5">
      <c r="B159" s="73"/>
      <c r="C159" s="73"/>
      <c r="D159" s="73"/>
      <c r="E159" s="73"/>
    </row>
    <row r="160" spans="2:5">
      <c r="B160" s="73" t="s">
        <v>130</v>
      </c>
      <c r="C160" s="73">
        <v>12000</v>
      </c>
      <c r="D160" s="73"/>
      <c r="E160" s="73">
        <v>12000</v>
      </c>
    </row>
    <row r="161" spans="2:5">
      <c r="B161" s="73" t="s">
        <v>131</v>
      </c>
      <c r="C161" s="73">
        <v>1782</v>
      </c>
      <c r="D161" s="73"/>
      <c r="E161" s="73">
        <v>1782</v>
      </c>
    </row>
    <row r="162" spans="2:5">
      <c r="B162" s="73" t="s">
        <v>132</v>
      </c>
      <c r="C162" s="73">
        <v>1100</v>
      </c>
      <c r="D162" s="73"/>
      <c r="E162" s="73">
        <v>1100</v>
      </c>
    </row>
    <row r="163" spans="2:5">
      <c r="B163" s="73"/>
      <c r="C163" s="73"/>
      <c r="D163" s="73"/>
      <c r="E163" s="73"/>
    </row>
    <row r="164" spans="2:5">
      <c r="B164" s="73" t="s">
        <v>133</v>
      </c>
      <c r="C164" s="73">
        <v>700</v>
      </c>
      <c r="D164" s="73">
        <v>1</v>
      </c>
      <c r="E164" s="73">
        <v>700</v>
      </c>
    </row>
    <row r="165" spans="2:5">
      <c r="B165" s="73" t="s">
        <v>134</v>
      </c>
      <c r="C165" s="73">
        <v>158</v>
      </c>
      <c r="D165" s="73">
        <v>2</v>
      </c>
      <c r="E165" s="73">
        <v>316</v>
      </c>
    </row>
    <row r="166" spans="2:5">
      <c r="B166" s="73" t="s">
        <v>135</v>
      </c>
      <c r="C166" s="73">
        <v>200</v>
      </c>
      <c r="D166" s="73">
        <v>5</v>
      </c>
      <c r="E166" s="73">
        <v>1000</v>
      </c>
    </row>
    <row r="167" spans="2:5">
      <c r="B167" s="73" t="s">
        <v>136</v>
      </c>
      <c r="C167" s="73"/>
      <c r="D167" s="73"/>
      <c r="E167" s="73">
        <v>2016</v>
      </c>
    </row>
    <row r="168" spans="2:5">
      <c r="B168" s="74" t="s">
        <v>137</v>
      </c>
      <c r="C168" s="74"/>
      <c r="D168" s="74"/>
      <c r="E168" s="74">
        <v>46068</v>
      </c>
    </row>
  </sheetData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Baseline Calculation</vt:lpstr>
      <vt:lpstr>Sensitivity Analysis</vt:lpstr>
      <vt:lpstr>PV Economic Analysis</vt:lpstr>
      <vt:lpstr>O&amp;M_Sensitivity</vt:lpstr>
      <vt:lpstr>Diesel Gen. Economic Analysis</vt:lpstr>
      <vt:lpstr>Inverter Datasheet</vt:lpstr>
      <vt:lpstr>Energy_Power Use Calculation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BMPC</dc:creator>
  <cp:lastModifiedBy>BMPC</cp:lastModifiedBy>
  <dcterms:created xsi:type="dcterms:W3CDTF">2023-05-22T13:55:42Z</dcterms:created>
  <dcterms:modified xsi:type="dcterms:W3CDTF">2023-08-17T12:50:55Z</dcterms:modified>
</cp:coreProperties>
</file>