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steve\OneDrive\Documents\Formerly Encrypted\Courses\Spring 2024\Entropy Paper\Unbound low-energy nucleons as semiclassical quantum networks\"/>
    </mc:Choice>
  </mc:AlternateContent>
  <xr:revisionPtr revIDLastSave="0" documentId="13_ncr:1_{D5649526-BF04-4135-85AB-10085A6FC22C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3" i="1" l="1"/>
  <c r="P12" i="1"/>
  <c r="AH96" i="1"/>
  <c r="AG95" i="1"/>
  <c r="AD94" i="1"/>
  <c r="AF96" i="1" s="1"/>
  <c r="AC93" i="1"/>
  <c r="AC92" i="1"/>
  <c r="E150" i="1"/>
  <c r="G150" i="1" s="1"/>
  <c r="E149" i="1"/>
  <c r="G149" i="1" s="1"/>
  <c r="T145" i="1"/>
  <c r="O145" i="1"/>
  <c r="E145" i="1"/>
  <c r="M145" i="1" s="1"/>
  <c r="P11" i="1"/>
  <c r="T119" i="1"/>
  <c r="O119" i="1"/>
  <c r="E119" i="1"/>
  <c r="A119" i="1" s="1"/>
  <c r="AB87" i="1"/>
  <c r="AA86" i="1"/>
  <c r="Y84" i="1"/>
  <c r="I44" i="1"/>
  <c r="Z85" i="1" s="1"/>
  <c r="X50" i="1"/>
  <c r="W50" i="1"/>
  <c r="X49" i="1"/>
  <c r="W49" i="1"/>
  <c r="AE95" i="1" l="1"/>
  <c r="A150" i="1"/>
  <c r="K150" i="1" s="1"/>
  <c r="W121" i="1"/>
  <c r="W122" i="1"/>
  <c r="W78" i="1"/>
  <c r="X79" i="1"/>
  <c r="M150" i="1"/>
  <c r="F150" i="1"/>
  <c r="F149" i="1"/>
  <c r="M149" i="1"/>
  <c r="A149" i="1"/>
  <c r="F145" i="1"/>
  <c r="X145" i="1"/>
  <c r="A145" i="1"/>
  <c r="G119" i="1"/>
  <c r="I119" i="1" s="1"/>
  <c r="N119" i="1" s="1"/>
  <c r="F119" i="1"/>
  <c r="M119" i="1"/>
  <c r="O74" i="1"/>
  <c r="S76" i="1"/>
  <c r="I150" i="1" l="1"/>
  <c r="N150" i="1" s="1"/>
  <c r="W150" i="1"/>
  <c r="K149" i="1"/>
  <c r="I149" i="1"/>
  <c r="G145" i="1"/>
  <c r="I145" i="1" s="1"/>
  <c r="J145" i="1" s="1"/>
  <c r="J119" i="1"/>
  <c r="K119" i="1"/>
  <c r="L119" i="1"/>
  <c r="H119" i="1"/>
  <c r="Q140" i="1" s="1"/>
  <c r="J150" i="1" l="1"/>
  <c r="V150" i="1" s="1"/>
  <c r="W134" i="1"/>
  <c r="V133" i="1"/>
  <c r="K145" i="1"/>
  <c r="W149" i="1"/>
  <c r="H149" i="1" s="1"/>
  <c r="L150" i="1"/>
  <c r="O150" i="1" s="1"/>
  <c r="H150" i="1"/>
  <c r="J149" i="1"/>
  <c r="N149" i="1"/>
  <c r="L149" i="1"/>
  <c r="O149" i="1" s="1"/>
  <c r="N145" i="1"/>
  <c r="V145" i="1" s="1"/>
  <c r="H145" i="1"/>
  <c r="L145" i="1"/>
  <c r="Q124" i="1"/>
  <c r="P119" i="1"/>
  <c r="Q119" i="1"/>
  <c r="V119" i="1"/>
  <c r="Q149" i="1" l="1"/>
  <c r="U149" i="1" s="1"/>
  <c r="V149" i="1"/>
  <c r="U119" i="1"/>
  <c r="U132" i="1"/>
  <c r="Q150" i="1"/>
  <c r="U150" i="1" s="1"/>
  <c r="Q145" i="1"/>
  <c r="U145" i="1" s="1"/>
  <c r="Y145" i="1"/>
  <c r="Z145" i="1" l="1"/>
  <c r="AA145" i="1" s="1"/>
  <c r="R145" i="1" s="1"/>
  <c r="P145" i="1" l="1"/>
  <c r="R148" i="1"/>
  <c r="R150" i="1" s="1"/>
  <c r="P150" i="1" s="1"/>
  <c r="R147" i="1"/>
  <c r="R149" i="1" s="1"/>
  <c r="P149" i="1" s="1"/>
  <c r="O44" i="1"/>
  <c r="P16" i="1"/>
  <c r="Y71" i="1" l="1"/>
  <c r="Z72" i="1"/>
  <c r="E24" i="1"/>
  <c r="G24" i="1" s="1"/>
  <c r="P15" i="1"/>
  <c r="S14" i="1"/>
  <c r="A24" i="1" l="1"/>
  <c r="I24" i="1" s="1"/>
  <c r="M24" i="1"/>
  <c r="F24" i="1"/>
  <c r="K24" i="1" l="1"/>
  <c r="W24" i="1"/>
  <c r="L24" i="1" s="1"/>
  <c r="O24" i="1" s="1"/>
  <c r="X24" i="1" s="1"/>
  <c r="H24" i="1"/>
  <c r="Z136" i="1" s="1"/>
  <c r="X135" i="1" s="1"/>
  <c r="N24" i="1"/>
  <c r="J24" i="1"/>
  <c r="AA136" i="1" s="1"/>
  <c r="Y135" i="1" l="1"/>
  <c r="Q24" i="1"/>
  <c r="U24" i="1" s="1"/>
  <c r="V24" i="1"/>
  <c r="Y24" i="1"/>
  <c r="E11" i="1" l="1"/>
  <c r="M11" i="1" l="1"/>
  <c r="A11" i="1"/>
  <c r="G11" i="1"/>
  <c r="F11" i="1"/>
  <c r="K11" i="1" l="1"/>
  <c r="I11" i="1"/>
  <c r="W11" i="1" s="1"/>
  <c r="H11" i="1" s="1"/>
  <c r="L11" i="1" l="1"/>
  <c r="O11" i="1" s="1"/>
  <c r="N11" i="1"/>
  <c r="J11" i="1"/>
  <c r="Q11" i="1"/>
  <c r="V11" i="1" l="1"/>
  <c r="U11" i="1"/>
  <c r="Z24" i="1" l="1"/>
  <c r="AA24" i="1" s="1"/>
  <c r="AB24" i="1" l="1"/>
  <c r="R24" i="1"/>
  <c r="R118" i="1" l="1"/>
  <c r="X151" i="1"/>
  <c r="P97" i="1"/>
  <c r="P24" i="1"/>
</calcChain>
</file>

<file path=xl/sharedStrings.xml><?xml version="1.0" encoding="utf-8"?>
<sst xmlns="http://schemas.openxmlformats.org/spreadsheetml/2006/main" count="154" uniqueCount="78">
  <si>
    <t>h</t>
  </si>
  <si>
    <t>c</t>
  </si>
  <si>
    <t>μ_p</t>
  </si>
  <si>
    <t>α</t>
  </si>
  <si>
    <t>μ_n</t>
  </si>
  <si>
    <t>r_n</t>
  </si>
  <si>
    <t>a</t>
  </si>
  <si>
    <t>b</t>
  </si>
  <si>
    <t>[]</t>
  </si>
  <si>
    <t>δ_n</t>
  </si>
  <si>
    <t>Q_nex</t>
  </si>
  <si>
    <t>λ_n</t>
  </si>
  <si>
    <t>δ_n/Q_nex</t>
  </si>
  <si>
    <t>R_n</t>
  </si>
  <si>
    <t>m_n</t>
  </si>
  <si>
    <t>r_nz</t>
  </si>
  <si>
    <t>r_na</t>
  </si>
  <si>
    <t>V_no</t>
  </si>
  <si>
    <t>φ_nl</t>
  </si>
  <si>
    <t>V_ni</t>
  </si>
  <si>
    <t>A_no</t>
  </si>
  <si>
    <t>A_noE</t>
  </si>
  <si>
    <t>A_niE</t>
  </si>
  <si>
    <t>A_ni</t>
  </si>
  <si>
    <t>φ_na</t>
  </si>
  <si>
    <t>R_p</t>
  </si>
  <si>
    <t>m_p</t>
  </si>
  <si>
    <t>λ_p</t>
  </si>
  <si>
    <t>r_pz</t>
  </si>
  <si>
    <t>r_pa</t>
  </si>
  <si>
    <t>V_po</t>
  </si>
  <si>
    <t>φ_pl</t>
  </si>
  <si>
    <t>V_pi</t>
  </si>
  <si>
    <t>A_poE</t>
  </si>
  <si>
    <t>A_po</t>
  </si>
  <si>
    <t>A_piE</t>
  </si>
  <si>
    <t>A_pi</t>
  </si>
  <si>
    <t>Q_pex</t>
  </si>
  <si>
    <t>δ_p</t>
  </si>
  <si>
    <t>e</t>
  </si>
  <si>
    <t>average β_n</t>
  </si>
  <si>
    <t>average β_p</t>
  </si>
  <si>
    <t>q_u</t>
  </si>
  <si>
    <t>q_d</t>
  </si>
  <si>
    <t>k_po</t>
  </si>
  <si>
    <t>k_pi</t>
  </si>
  <si>
    <t>k_no</t>
  </si>
  <si>
    <t>k_ni</t>
  </si>
  <si>
    <t>r_s</t>
  </si>
  <si>
    <t>r_pi</t>
  </si>
  <si>
    <t>r_eff</t>
  </si>
  <si>
    <t>Authors and affiliations in column X</t>
  </si>
  <si>
    <t>Title: Unbound low-energy nucleons as semiclassical quantum networks</t>
  </si>
  <si>
    <t>email: sverrall@uwlax.edu; steven.verrall@gmail.com</t>
  </si>
  <si>
    <t>Steven C. Verrall, Andrew Kaminsky, Isaac Ozolins, Emily Friederick, Andrew Otto, Ivan Ngian, Reagen McCormick, Pearl Scallon, Seth Schaffer, Stephanie San Juan</t>
  </si>
  <si>
    <t>Andrew Otto also with St. Croix Health, 235 State Street, St. Croix Falls, WI 54024, USA</t>
  </si>
  <si>
    <t>Andrew Kaminsky also with Multistack, 1065 Maple Ave, Sparta, WI 54656, USA</t>
  </si>
  <si>
    <t>Andrew Kaminsky also with Benchmark, 4065 Theurer Blvd, Winona, MN 55987, USA</t>
  </si>
  <si>
    <t>Isaac Ozolins also with ThermTech, Inc., 301 Travis Lane, Waukesha, WI 53189, USA</t>
  </si>
  <si>
    <t>Authors affiliated with University of Wisconsin at La Crosse, La Crosse, WI 54601, USA:</t>
  </si>
  <si>
    <t>Kori N. Verrall affiliated with La Crosse Aquinas High School, 315 11th St S, La Crosse, WI 54601, USA</t>
  </si>
  <si>
    <t>Peter Lynch affiliated with School of Mathematics and Statistics, University College Dublin, Belfeld, Dublin 4, Ireland</t>
  </si>
  <si>
    <t>Kelly S. Verrall unaffiliated independent researcher in La Crosse, WI 545601, USA</t>
  </si>
  <si>
    <t>r_s A_po/V_po</t>
  </si>
  <si>
    <t>r_pi A_pi/V_pi</t>
  </si>
  <si>
    <t>r_no A_no/V_no</t>
  </si>
  <si>
    <t>r_ni A_ni/V_ni</t>
  </si>
  <si>
    <t>r_no</t>
  </si>
  <si>
    <t>r_ni</t>
  </si>
  <si>
    <t>m_n (MeV/c^2)</t>
  </si>
  <si>
    <t>r_po A_po/V_po</t>
  </si>
  <si>
    <t>m_u+m_d</t>
  </si>
  <si>
    <t>r_A</t>
  </si>
  <si>
    <t>m_charm</t>
  </si>
  <si>
    <t>ϑ_ent</t>
  </si>
  <si>
    <t>charm%</t>
  </si>
  <si>
    <t>p_c%</t>
  </si>
  <si>
    <t>m_p (MeV/c^2)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</si>
</sst>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164" formatCode="0.0000E+00"/>
    <numFmt numFmtId="165" formatCode="0.00000000E+00"/>
    <numFmt numFmtId="166" formatCode="0.00000000000E+00"/>
    <numFmt numFmtId="167" formatCode="0.0000000000000E+00"/>
    <numFmt numFmtId="168" formatCode="0.00000000000000E+00"/>
    <numFmt numFmtId="169" formatCode="0.0000000000"/>
    <numFmt numFmtId="170" formatCode="0.00000000000"/>
    <numFmt numFmtId="171" formatCode="0.0000000000000"/>
    <numFmt numFmtId="172" formatCode="0.000000000000"/>
    <numFmt numFmtId="173" formatCode="0.000000000E+00"/>
    <numFmt numFmtId="174" formatCode="0.0000000000E+00"/>
    <numFmt numFmtId="175" formatCode="0.000000000"/>
    <numFmt numFmtId="176" formatCode="0.000000000000E+00"/>
    <numFmt numFmtId="177" formatCode="0.00000000000000"/>
    <numFmt numFmtId="178" formatCode="0.000000E+00"/>
    <numFmt numFmtId="179" formatCode="0.0000000E+00"/>
    <numFmt numFmtId="180" formatCode="0.00000E+00"/>
    <numFmt numFmtId="181" formatCode="0.000E+00"/>
    <numFmt numFmtId="182" formatCode="0.00000000"/>
    <numFmt numFmtId="183" formatCode="0.0000000"/>
    <numFmt numFmtId="184" formatCode="0.000000"/>
    <numFmt numFmtId="185" formatCode="0.0000"/>
    <numFmt numFmtId="186" formatCode="0.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65" fontId="1" fillId="0" borderId="0" xfId="0" applyNumberFormat="1" applyFont="1" applyAlignment="1">
      <alignment horizontal="right"/>
    </xf>
    <xf numFmtId="166" fontId="1" fillId="0" borderId="0" xfId="0" applyNumberFormat="1" applyFont="1"/>
    <xf numFmtId="169" fontId="0" fillId="0" borderId="0" xfId="0" applyNumberFormat="1"/>
    <xf numFmtId="170" fontId="0" fillId="0" borderId="0" xfId="0" applyNumberFormat="1"/>
    <xf numFmtId="171" fontId="0" fillId="0" borderId="0" xfId="0" applyNumberFormat="1"/>
    <xf numFmtId="168" fontId="0" fillId="0" borderId="0" xfId="0" applyNumberFormat="1" applyAlignment="1">
      <alignment horizontal="center"/>
    </xf>
    <xf numFmtId="165" fontId="0" fillId="0" borderId="0" xfId="0" applyNumberFormat="1"/>
    <xf numFmtId="172" fontId="0" fillId="0" borderId="0" xfId="0" applyNumberFormat="1"/>
    <xf numFmtId="173" fontId="0" fillId="0" borderId="0" xfId="0" applyNumberFormat="1"/>
    <xf numFmtId="166" fontId="2" fillId="0" borderId="0" xfId="0" applyNumberFormat="1" applyFont="1" applyAlignment="1">
      <alignment horizontal="left"/>
    </xf>
    <xf numFmtId="174" fontId="0" fillId="0" borderId="0" xfId="0" applyNumberFormat="1"/>
    <xf numFmtId="0" fontId="1" fillId="0" borderId="0" xfId="0" applyFont="1" applyAlignment="1">
      <alignment horizontal="left"/>
    </xf>
    <xf numFmtId="175" fontId="0" fillId="0" borderId="0" xfId="0" applyNumberFormat="1"/>
    <xf numFmtId="176" fontId="0" fillId="0" borderId="0" xfId="0" applyNumberFormat="1"/>
    <xf numFmtId="177" fontId="0" fillId="0" borderId="0" xfId="0" applyNumberFormat="1"/>
    <xf numFmtId="178" fontId="0" fillId="0" borderId="0" xfId="0" applyNumberFormat="1"/>
    <xf numFmtId="1" fontId="0" fillId="0" borderId="0" xfId="0" applyNumberFormat="1"/>
    <xf numFmtId="179" fontId="0" fillId="0" borderId="0" xfId="0" applyNumberFormat="1"/>
    <xf numFmtId="180" fontId="0" fillId="0" borderId="0" xfId="0" applyNumberFormat="1"/>
    <xf numFmtId="181" fontId="0" fillId="0" borderId="0" xfId="0" applyNumberFormat="1"/>
    <xf numFmtId="11" fontId="0" fillId="0" borderId="0" xfId="0" applyNumberFormat="1"/>
    <xf numFmtId="167" fontId="0" fillId="0" borderId="0" xfId="0" applyNumberFormat="1" applyAlignment="1">
      <alignment horizontal="center"/>
    </xf>
    <xf numFmtId="182" fontId="0" fillId="0" borderId="0" xfId="0" applyNumberFormat="1"/>
    <xf numFmtId="183" fontId="0" fillId="0" borderId="0" xfId="0" applyNumberFormat="1"/>
    <xf numFmtId="178" fontId="0" fillId="0" borderId="0" xfId="0" applyNumberFormat="1" applyAlignment="1">
      <alignment horizontal="center"/>
    </xf>
    <xf numFmtId="184" fontId="0" fillId="0" borderId="0" xfId="0" applyNumberFormat="1"/>
    <xf numFmtId="2" fontId="0" fillId="0" borderId="0" xfId="0" applyNumberFormat="1"/>
    <xf numFmtId="185" fontId="0" fillId="0" borderId="0" xfId="0" applyNumberFormat="1"/>
    <xf numFmtId="18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66"/>
  <sheetViews>
    <sheetView tabSelected="1" topLeftCell="M1" zoomScaleNormal="100" workbookViewId="0">
      <selection activeCell="P14" sqref="P14"/>
    </sheetView>
  </sheetViews>
  <sheetFormatPr defaultRowHeight="14.4" x14ac:dyDescent="0.3"/>
  <cols>
    <col min="1" max="1" width="19.5546875" customWidth="1"/>
    <col min="2" max="2" width="17.44140625" customWidth="1"/>
    <col min="3" max="3" width="15.109375" customWidth="1"/>
    <col min="4" max="4" width="10.88671875" customWidth="1"/>
    <col min="5" max="5" width="20.33203125" customWidth="1"/>
    <col min="6" max="6" width="19.88671875" customWidth="1"/>
    <col min="7" max="7" width="21.109375" customWidth="1"/>
    <col min="8" max="8" width="21.88671875" customWidth="1"/>
    <col min="9" max="9" width="20" customWidth="1"/>
    <col min="10" max="10" width="21.88671875" customWidth="1"/>
    <col min="11" max="11" width="21.44140625" customWidth="1"/>
    <col min="12" max="14" width="21.5546875" customWidth="1"/>
    <col min="15" max="15" width="19.88671875" customWidth="1"/>
    <col min="16" max="16" width="22.33203125" bestFit="1" customWidth="1"/>
    <col min="17" max="17" width="19.5546875" customWidth="1"/>
    <col min="18" max="18" width="17.44140625" customWidth="1"/>
    <col min="19" max="19" width="16.44140625" customWidth="1"/>
    <col min="20" max="22" width="16.109375" customWidth="1"/>
    <col min="23" max="23" width="16.77734375" customWidth="1"/>
    <col min="24" max="24" width="22.77734375" bestFit="1" customWidth="1"/>
    <col min="25" max="25" width="20.21875" customWidth="1"/>
    <col min="26" max="26" width="20.33203125" customWidth="1"/>
    <col min="27" max="27" width="15.77734375" customWidth="1"/>
    <col min="28" max="28" width="16" customWidth="1"/>
    <col min="29" max="29" width="8.77734375" customWidth="1"/>
    <col min="30" max="30" width="9.44140625" customWidth="1"/>
    <col min="31" max="31" width="8.33203125" customWidth="1"/>
    <col min="32" max="32" width="7" customWidth="1"/>
    <col min="33" max="33" width="8.44140625" customWidth="1"/>
    <col min="34" max="34" width="6.88671875" customWidth="1"/>
    <col min="35" max="35" width="13.21875" customWidth="1"/>
    <col min="36" max="36" width="20.5546875" bestFit="1" customWidth="1"/>
    <col min="37" max="37" width="21.6640625" bestFit="1" customWidth="1"/>
    <col min="38" max="38" width="21.109375" bestFit="1" customWidth="1"/>
  </cols>
  <sheetData>
    <row r="1" spans="1:35" x14ac:dyDescent="0.3">
      <c r="A1" t="s">
        <v>52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t="s">
        <v>59</v>
      </c>
      <c r="AG1" s="2"/>
      <c r="AH1" s="2"/>
      <c r="AI1" s="2"/>
    </row>
    <row r="2" spans="1:35" x14ac:dyDescent="0.3">
      <c r="A2" s="16" t="s">
        <v>51</v>
      </c>
      <c r="B2" s="17"/>
      <c r="C2" s="8"/>
      <c r="D2" s="1"/>
      <c r="E2" s="7"/>
      <c r="F2" s="6"/>
      <c r="G2" s="7"/>
      <c r="H2" s="7"/>
      <c r="J2" s="7"/>
      <c r="K2" s="7"/>
      <c r="L2" s="7"/>
      <c r="M2" s="7"/>
      <c r="N2" s="7"/>
      <c r="O2" s="6"/>
      <c r="P2" s="14"/>
      <c r="Q2" s="4"/>
      <c r="U2" s="14"/>
      <c r="V2" s="14"/>
      <c r="W2" s="19"/>
      <c r="X2" t="s">
        <v>54</v>
      </c>
    </row>
    <row r="3" spans="1:35" x14ac:dyDescent="0.3">
      <c r="A3" s="18"/>
      <c r="B3" s="17"/>
      <c r="C3" s="8"/>
      <c r="D3" s="1"/>
      <c r="E3" s="7"/>
      <c r="F3" s="6"/>
      <c r="G3" s="7"/>
      <c r="H3" s="7"/>
      <c r="J3" s="7"/>
      <c r="K3" s="7"/>
      <c r="L3" s="7"/>
      <c r="M3" s="7"/>
      <c r="N3" s="7"/>
      <c r="O3" s="6"/>
      <c r="P3" s="14"/>
      <c r="Q3" s="4"/>
      <c r="U3" s="14"/>
      <c r="V3" s="14"/>
      <c r="X3" t="s">
        <v>53</v>
      </c>
    </row>
    <row r="4" spans="1:35" x14ac:dyDescent="0.3">
      <c r="A4" s="5"/>
      <c r="B4" s="17"/>
      <c r="C4" s="8"/>
      <c r="D4" s="1"/>
      <c r="E4" s="7"/>
      <c r="F4" s="6"/>
      <c r="G4" s="7"/>
      <c r="H4" s="7"/>
      <c r="J4" s="7"/>
      <c r="K4" s="7"/>
      <c r="L4" s="7"/>
      <c r="M4" s="7"/>
      <c r="N4" s="7"/>
      <c r="O4" s="6"/>
      <c r="P4" s="14"/>
      <c r="Q4" s="4"/>
      <c r="U4" s="14"/>
      <c r="V4" s="14"/>
      <c r="X4" t="s">
        <v>56</v>
      </c>
    </row>
    <row r="5" spans="1:35" x14ac:dyDescent="0.3">
      <c r="A5" s="16"/>
      <c r="B5" s="17"/>
      <c r="C5" s="8"/>
      <c r="D5" s="1"/>
      <c r="E5" s="7"/>
      <c r="F5" s="6"/>
      <c r="G5" s="7"/>
      <c r="H5" s="7"/>
      <c r="J5" s="7"/>
      <c r="K5" s="7"/>
      <c r="L5" s="7"/>
      <c r="M5" s="7"/>
      <c r="N5" s="7"/>
      <c r="O5" s="6"/>
      <c r="P5" s="14"/>
      <c r="Q5" s="4"/>
      <c r="R5" s="11"/>
      <c r="U5" s="14"/>
      <c r="V5" s="14"/>
      <c r="X5" t="s">
        <v>57</v>
      </c>
    </row>
    <row r="6" spans="1:35" x14ac:dyDescent="0.3">
      <c r="A6" s="16"/>
      <c r="B6" s="17"/>
      <c r="C6" s="8"/>
      <c r="D6" s="1"/>
      <c r="E6" s="7"/>
      <c r="F6" s="6"/>
      <c r="G6" s="7"/>
      <c r="H6" s="7"/>
      <c r="J6" s="7"/>
      <c r="K6" s="7"/>
      <c r="L6" s="7"/>
      <c r="M6" s="7"/>
      <c r="N6" s="7"/>
      <c r="O6" s="6"/>
      <c r="P6" s="14"/>
      <c r="Q6" s="4"/>
      <c r="R6" s="11"/>
      <c r="U6" s="14"/>
      <c r="V6" s="14"/>
      <c r="X6" t="s">
        <v>58</v>
      </c>
    </row>
    <row r="7" spans="1:35" x14ac:dyDescent="0.3">
      <c r="A7" s="16"/>
      <c r="B7" s="17"/>
      <c r="C7" s="8"/>
      <c r="D7" s="1"/>
      <c r="E7" s="7"/>
      <c r="F7" s="6"/>
      <c r="G7" s="7"/>
      <c r="H7" s="7"/>
      <c r="J7" s="7"/>
      <c r="K7" s="7"/>
      <c r="L7" s="7"/>
      <c r="M7" s="7"/>
      <c r="N7" s="7"/>
      <c r="O7" s="6"/>
      <c r="P7" s="14"/>
      <c r="Q7" s="4"/>
      <c r="R7" s="11"/>
      <c r="U7" s="14"/>
      <c r="V7" s="14"/>
      <c r="X7" t="s">
        <v>55</v>
      </c>
    </row>
    <row r="8" spans="1:35" x14ac:dyDescent="0.3">
      <c r="A8" s="16"/>
      <c r="B8" s="17"/>
      <c r="C8" s="8"/>
      <c r="D8" s="1"/>
      <c r="E8" s="7"/>
      <c r="F8" s="6"/>
      <c r="G8" s="7"/>
      <c r="H8" s="7"/>
      <c r="J8" s="7"/>
      <c r="K8" s="7"/>
      <c r="L8" s="7"/>
      <c r="M8" s="7"/>
      <c r="N8" s="7"/>
      <c r="O8" s="6"/>
      <c r="P8" s="14"/>
      <c r="Q8" s="4"/>
      <c r="R8" s="11"/>
      <c r="U8" s="14"/>
      <c r="V8" s="14"/>
      <c r="X8" t="s">
        <v>60</v>
      </c>
    </row>
    <row r="9" spans="1:35" x14ac:dyDescent="0.3">
      <c r="A9" s="16"/>
      <c r="B9" s="17"/>
      <c r="C9" s="8"/>
      <c r="D9" s="1"/>
      <c r="E9" s="7"/>
      <c r="F9" s="6"/>
      <c r="G9" s="7"/>
      <c r="H9" s="7"/>
      <c r="J9" s="7"/>
      <c r="K9" s="7"/>
      <c r="L9" s="7"/>
      <c r="M9" s="7"/>
      <c r="N9" s="7"/>
      <c r="O9" s="6"/>
      <c r="P9" s="6"/>
      <c r="Q9" s="4"/>
      <c r="R9" s="11"/>
      <c r="U9" s="14"/>
      <c r="V9" s="14"/>
      <c r="X9" t="s">
        <v>61</v>
      </c>
    </row>
    <row r="10" spans="1:35" x14ac:dyDescent="0.3">
      <c r="A10" s="2" t="s">
        <v>13</v>
      </c>
      <c r="B10" s="2" t="s">
        <v>14</v>
      </c>
      <c r="C10" s="2" t="s">
        <v>0</v>
      </c>
      <c r="D10" s="2" t="s">
        <v>1</v>
      </c>
      <c r="E10" s="3" t="s">
        <v>11</v>
      </c>
      <c r="F10" s="3" t="s">
        <v>15</v>
      </c>
      <c r="G10" s="3" t="s">
        <v>16</v>
      </c>
      <c r="H10" s="3" t="s">
        <v>17</v>
      </c>
      <c r="I10" s="3" t="s">
        <v>18</v>
      </c>
      <c r="J10" s="3" t="s">
        <v>19</v>
      </c>
      <c r="K10" s="3" t="s">
        <v>21</v>
      </c>
      <c r="L10" s="3" t="s">
        <v>20</v>
      </c>
      <c r="M10" s="3" t="s">
        <v>22</v>
      </c>
      <c r="N10" s="3" t="s">
        <v>23</v>
      </c>
      <c r="O10" s="3" t="s">
        <v>10</v>
      </c>
      <c r="P10" s="3" t="s">
        <v>4</v>
      </c>
      <c r="Q10" s="3" t="s">
        <v>5</v>
      </c>
      <c r="R10" s="3" t="s">
        <v>9</v>
      </c>
      <c r="S10" s="3" t="s">
        <v>8</v>
      </c>
      <c r="T10" s="3" t="s">
        <v>69</v>
      </c>
      <c r="U10" s="3" t="s">
        <v>65</v>
      </c>
      <c r="V10" s="3" t="s">
        <v>66</v>
      </c>
      <c r="W10" s="3" t="s">
        <v>24</v>
      </c>
      <c r="X10" t="s">
        <v>62</v>
      </c>
    </row>
    <row r="11" spans="1:35" x14ac:dyDescent="0.3">
      <c r="A11" s="16">
        <f>E11/2</f>
        <v>6.5979545290486651E-16</v>
      </c>
      <c r="B11" s="17">
        <v>1.67492749804E-27</v>
      </c>
      <c r="C11" s="8">
        <v>6.6260701499999998E-34</v>
      </c>
      <c r="D11" s="1">
        <v>299792458</v>
      </c>
      <c r="E11" s="7">
        <f>C11/(B11*D11)</f>
        <v>1.319590905809733E-15</v>
      </c>
      <c r="F11" s="6">
        <f>E11/(4*PI())</f>
        <v>1.0500970775936534E-16</v>
      </c>
      <c r="G11" s="7">
        <f>E11/4</f>
        <v>3.2989772645243326E-16</v>
      </c>
      <c r="H11" s="7">
        <f>4/3*PI()*A11^3*(SIN(W11)^3-3/4*COS(W11)*(2*W11-SIN(2*W11)))</f>
        <v>3.0620842299043777E-45</v>
      </c>
      <c r="I11">
        <f>ACOS(G11/A11)</f>
        <v>1.0471975511965976</v>
      </c>
      <c r="J11" s="7">
        <f>4/3*PI()*A11^3*(SIN(I11)^3-3/4*COS(I11)*(2*I11-SIN(2*I11)))</f>
        <v>2.2724979188919757E-46</v>
      </c>
      <c r="K11" s="7">
        <f>4*PI()*(A11+G11)^2</f>
        <v>1.2308666890739369E-29</v>
      </c>
      <c r="L11" s="7">
        <f>4*PI()*A11^2*(SIN(W11)-W11*COS(W11))</f>
        <v>1.0466321795812278E-29</v>
      </c>
      <c r="M11" s="7">
        <f>4*PI()*(E11/4)^2</f>
        <v>1.3676296545265966E-30</v>
      </c>
      <c r="N11" s="7">
        <f>4*PI()*A11^2*(SIN(I11)-I11*COS(I11))</f>
        <v>1.8732512448276702E-30</v>
      </c>
      <c r="O11" s="6">
        <f>1-2*PI()^2*A11*(G11+2*A11/PI())/L11</f>
        <v>6.6811236636482585E-2</v>
      </c>
      <c r="P11" s="26">
        <f>(53*SQRT(3)/36-4-35*PI()/27+3/PI()*(3*SQRT(3)-1/2))*(4*PI()^2)/(3*(4+PI()))*B119/B11</f>
        <v>-1.909996152486799</v>
      </c>
      <c r="Q11" s="4">
        <f>(3*H11/(4*PI()))^(1/3)</f>
        <v>9.0083000058646689E-16</v>
      </c>
      <c r="R11" s="11"/>
      <c r="T11" s="30">
        <v>939.56542051999998</v>
      </c>
      <c r="U11" s="4">
        <f>Q11*L11/H11</f>
        <v>3.0790716262413702</v>
      </c>
      <c r="V11" s="4">
        <f>(3*J11/(4*PI()))^(1/3)*N11/J11</f>
        <v>3.1205477370483581</v>
      </c>
      <c r="W11">
        <f>PI()-I11</f>
        <v>2.0943951023931957</v>
      </c>
    </row>
    <row r="12" spans="1:35" x14ac:dyDescent="0.3">
      <c r="P12" s="26">
        <f>(53*SQRT(3)/36-4-35*PI()/27+3/PI()*(3*SQRT(3)-1/2))*(4*PI()^2)/(3*(4+PI()))</f>
        <v>-1.9126289280563413</v>
      </c>
    </row>
    <row r="13" spans="1:35" x14ac:dyDescent="0.3">
      <c r="P13" s="14">
        <f>P12*B119/(B119-0.39717*9.1093837015E-31)</f>
        <v>-1.9130427298016899</v>
      </c>
    </row>
    <row r="14" spans="1:35" x14ac:dyDescent="0.3">
      <c r="A14" s="16"/>
      <c r="B14" s="17"/>
      <c r="C14" s="8"/>
      <c r="D14" s="1"/>
      <c r="E14" s="7"/>
      <c r="F14" s="6"/>
      <c r="G14" s="7"/>
      <c r="H14" s="7"/>
      <c r="J14" s="7"/>
      <c r="K14" s="7"/>
      <c r="L14" s="7"/>
      <c r="M14" s="7"/>
      <c r="N14" s="7"/>
      <c r="O14" s="6"/>
      <c r="P14" s="14"/>
      <c r="Q14" s="16"/>
      <c r="R14" s="11"/>
      <c r="S14" s="23">
        <f>(53*SQRT(3)/36-4-35*PI()/27+3/PI()*(3*SQRT(3)-1/2))</f>
        <v>-1.0379760028788123</v>
      </c>
      <c r="T14" s="14"/>
      <c r="U14" s="14"/>
      <c r="V14" s="14"/>
    </row>
    <row r="15" spans="1:35" x14ac:dyDescent="0.3">
      <c r="A15" s="16"/>
      <c r="B15" s="17"/>
      <c r="C15" s="8"/>
      <c r="D15" s="1"/>
      <c r="E15" s="7"/>
      <c r="F15" s="6"/>
      <c r="G15" s="7"/>
      <c r="H15" s="7"/>
      <c r="J15" s="7"/>
      <c r="K15" s="7"/>
      <c r="L15" s="7"/>
      <c r="M15" s="7"/>
      <c r="N15" s="7"/>
      <c r="O15" s="6"/>
      <c r="P15" s="4">
        <f>0-(2/3)^2*PI()^3/(4+PI())</f>
        <v>-1.9296210357978965</v>
      </c>
      <c r="Q15" s="4"/>
      <c r="R15" s="20"/>
      <c r="U15" s="14"/>
      <c r="V15" s="14"/>
    </row>
    <row r="16" spans="1:35" x14ac:dyDescent="0.3">
      <c r="A16" s="16"/>
      <c r="B16" s="17"/>
      <c r="C16" s="8"/>
      <c r="D16" s="1"/>
      <c r="E16" s="7"/>
      <c r="F16" s="6"/>
      <c r="G16" s="7"/>
      <c r="H16" s="7"/>
      <c r="J16" s="7"/>
      <c r="K16" s="7"/>
      <c r="L16" s="7"/>
      <c r="M16" s="7"/>
      <c r="N16" s="7"/>
      <c r="O16" s="6"/>
      <c r="P16" s="23">
        <f>0-(2/3)^2*PI()^3/(SQRT(33/2)+PI())</f>
        <v>-1.9130080422316156</v>
      </c>
      <c r="Q16" s="4"/>
      <c r="R16" s="11"/>
    </row>
    <row r="17" spans="1:38" x14ac:dyDescent="0.3">
      <c r="A17" s="16"/>
      <c r="B17" s="17"/>
      <c r="C17" s="8"/>
      <c r="D17" s="1"/>
      <c r="E17" s="7"/>
      <c r="F17" s="6"/>
      <c r="G17" s="7"/>
      <c r="H17" s="7"/>
      <c r="J17" s="7"/>
      <c r="K17" s="7"/>
      <c r="L17" s="7"/>
      <c r="M17" s="7"/>
      <c r="N17" s="7"/>
      <c r="O17" s="6"/>
      <c r="P17" s="18"/>
      <c r="Q17" s="16"/>
      <c r="R17" s="11"/>
      <c r="S17" s="20"/>
      <c r="U17" s="14"/>
      <c r="V17" s="14"/>
    </row>
    <row r="18" spans="1:38" x14ac:dyDescent="0.3">
      <c r="A18" s="16"/>
      <c r="B18" s="17"/>
      <c r="C18" s="8"/>
      <c r="D18" s="1"/>
      <c r="E18" s="7"/>
      <c r="F18" s="6"/>
      <c r="G18" s="7"/>
      <c r="H18" s="7"/>
      <c r="J18" s="7"/>
      <c r="K18" s="7"/>
      <c r="L18" s="7"/>
      <c r="M18" s="7"/>
      <c r="N18" s="7"/>
      <c r="O18" s="6"/>
      <c r="P18" s="18"/>
      <c r="Q18" s="16"/>
      <c r="R18" s="11"/>
      <c r="S18" s="20"/>
      <c r="U18" s="14"/>
      <c r="V18" s="14"/>
    </row>
    <row r="19" spans="1:38" x14ac:dyDescent="0.3">
      <c r="A19" s="16"/>
      <c r="B19" s="17"/>
      <c r="C19" s="8"/>
      <c r="D19" s="1"/>
      <c r="E19" s="7"/>
      <c r="F19" s="6"/>
      <c r="G19" s="7"/>
      <c r="H19" s="7"/>
      <c r="J19" s="7"/>
      <c r="K19" s="7"/>
      <c r="L19" s="7"/>
      <c r="M19" s="7"/>
      <c r="N19" s="7"/>
      <c r="O19" s="6"/>
      <c r="P19" s="18"/>
      <c r="Q19" s="16"/>
      <c r="R19" s="20"/>
      <c r="S19" s="11"/>
      <c r="U19" s="14"/>
      <c r="V19" s="14"/>
      <c r="AG19" s="6"/>
      <c r="AH19" s="6"/>
      <c r="AI19" s="6"/>
      <c r="AJ19" s="6"/>
      <c r="AK19" s="6"/>
      <c r="AL19" s="7"/>
    </row>
    <row r="20" spans="1:38" x14ac:dyDescent="0.3">
      <c r="A20" s="16"/>
      <c r="B20" s="17"/>
      <c r="C20" s="8"/>
      <c r="D20" s="1"/>
      <c r="E20" s="7"/>
      <c r="F20" s="6"/>
      <c r="G20" s="7"/>
      <c r="H20" s="7"/>
      <c r="I20" s="10"/>
      <c r="J20" s="7"/>
      <c r="K20" s="7"/>
      <c r="L20" s="7"/>
      <c r="M20" s="7"/>
      <c r="N20" s="7"/>
      <c r="O20" s="6"/>
      <c r="P20" s="18"/>
      <c r="Q20" s="16"/>
      <c r="R20" s="11"/>
      <c r="S20" s="11"/>
      <c r="U20" s="14"/>
      <c r="V20" s="14"/>
      <c r="AG20" s="6"/>
      <c r="AH20" s="6"/>
      <c r="AI20" s="6"/>
      <c r="AJ20" s="6"/>
      <c r="AK20" s="6"/>
      <c r="AL20" s="7"/>
    </row>
    <row r="21" spans="1:38" x14ac:dyDescent="0.3">
      <c r="A21" s="2"/>
      <c r="B21" s="2"/>
      <c r="C21" s="2"/>
      <c r="D21" s="2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</row>
    <row r="23" spans="1:38" x14ac:dyDescent="0.3">
      <c r="A23" s="5"/>
      <c r="B23" s="9"/>
      <c r="C23" s="8"/>
      <c r="D23" s="1"/>
      <c r="E23" s="7"/>
      <c r="F23" s="6"/>
      <c r="G23" s="7"/>
      <c r="H23" s="7"/>
      <c r="J23" s="7"/>
      <c r="K23" s="7"/>
      <c r="L23" s="7"/>
      <c r="M23" s="7"/>
      <c r="N23" s="7"/>
      <c r="O23" s="6"/>
      <c r="P23" s="5"/>
      <c r="Q23" s="4"/>
      <c r="R23" s="20"/>
      <c r="S23" s="15"/>
      <c r="T23" s="14"/>
      <c r="U23" s="14"/>
      <c r="V23" s="14"/>
      <c r="X23" s="2" t="s">
        <v>6</v>
      </c>
      <c r="Y23" s="2" t="s">
        <v>7</v>
      </c>
      <c r="Z23" s="2" t="s">
        <v>1</v>
      </c>
      <c r="AA23" s="3" t="s">
        <v>9</v>
      </c>
      <c r="AB23" s="29" t="s">
        <v>12</v>
      </c>
    </row>
    <row r="24" spans="1:38" x14ac:dyDescent="0.3">
      <c r="A24" s="16">
        <f>E24/2</f>
        <v>6.5979545290486651E-16</v>
      </c>
      <c r="B24" s="17">
        <v>1.67492749804E-27</v>
      </c>
      <c r="C24" s="8">
        <v>6.6260701499999998E-34</v>
      </c>
      <c r="D24" s="1">
        <v>299792458</v>
      </c>
      <c r="E24" s="7">
        <f t="shared" ref="E24" si="0">C24/(B24*D24)</f>
        <v>1.319590905809733E-15</v>
      </c>
      <c r="F24" s="6">
        <f t="shared" ref="F24" si="1">E24/(4*PI())</f>
        <v>1.0500970775936534E-16</v>
      </c>
      <c r="G24" s="7">
        <f>E24/4</f>
        <v>3.2989772645243326E-16</v>
      </c>
      <c r="H24" s="7">
        <f>4/3*PI()*A24^3*(SIN(W24)^3-3/4*COS(W24)*(2*W24-SIN(2*W24)))</f>
        <v>3.0620842299043777E-45</v>
      </c>
      <c r="I24">
        <f t="shared" ref="I24" si="2">ACOS(G24/A24)</f>
        <v>1.0471975511965976</v>
      </c>
      <c r="J24" s="7">
        <f t="shared" ref="J24" si="3">4/3*PI()*A24^3*(SIN(I24)^3-3/4*COS(I24)*(2*I24-SIN(2*I24)))</f>
        <v>2.2724979188919757E-46</v>
      </c>
      <c r="K24" s="7">
        <f t="shared" ref="K24" si="4">4*PI()*(A24+G24)^2</f>
        <v>1.2308666890739369E-29</v>
      </c>
      <c r="L24" s="7">
        <f>4*PI()*A24^2*(SIN(W24)-W24*COS(W24))</f>
        <v>1.0466321795812278E-29</v>
      </c>
      <c r="M24" s="7">
        <f t="shared" ref="M24" si="5">4*PI()*(E24/4)^2</f>
        <v>1.3676296545265966E-30</v>
      </c>
      <c r="N24" s="7">
        <f>4*PI()*A24^2*(SIN(I24)-I24*COS(I24))</f>
        <v>1.8732512448276702E-30</v>
      </c>
      <c r="O24" s="6">
        <f>1-2*PI()^2*A24*(G24+2*A24/PI())/L24</f>
        <v>6.6811236636482585E-2</v>
      </c>
      <c r="P24">
        <f>(-2*H24/((1-O24)*(1-R24)*K24)+2*J24/((1+R24)*M24))/F119</f>
        <v>-1.9130427300000017</v>
      </c>
      <c r="Q24" s="4">
        <f t="shared" ref="Q24" si="6">(3*H24/(4*PI()))^(1/3)</f>
        <v>9.0083000058646689E-16</v>
      </c>
      <c r="R24" s="20">
        <f>AA24</f>
        <v>3.7011499067011029E-4</v>
      </c>
      <c r="S24" s="11"/>
      <c r="U24" s="4">
        <f t="shared" ref="U24" si="7">Q24*L24/H24</f>
        <v>3.0790716262413702</v>
      </c>
      <c r="V24" s="4">
        <f t="shared" ref="V24" si="8">(3*J24/(4*PI()))^(1/3)*N24/J24</f>
        <v>3.1205477370483581</v>
      </c>
      <c r="W24">
        <f>PI()-I24</f>
        <v>2.0943951023931957</v>
      </c>
      <c r="X24" s="6">
        <f>-9*PI()*(1-O24)*E24^2*F119*-1.91304273</f>
        <v>9.2425723476453655E-45</v>
      </c>
      <c r="Y24" s="6">
        <f>72*(1-O24)*J24+8*H24</f>
        <v>3.9765494402509206E-44</v>
      </c>
      <c r="Z24" s="6">
        <f>16*H24-X24-Y24</f>
        <v>-1.4719071684530921E-47</v>
      </c>
      <c r="AA24" s="26">
        <f>(-Y24+SQRT(Y24^2-4*X24*Z24))/(2*X24)</f>
        <v>3.7011499067011029E-4</v>
      </c>
      <c r="AB24" s="28">
        <f>O24/AA24</f>
        <v>180.51480842620762</v>
      </c>
      <c r="AL24" s="7"/>
    </row>
    <row r="25" spans="1:38" x14ac:dyDescent="0.3">
      <c r="A25" s="5"/>
      <c r="B25" s="9"/>
      <c r="C25" s="8"/>
      <c r="D25" s="1"/>
      <c r="E25" s="7"/>
      <c r="F25" s="6"/>
      <c r="G25" s="7"/>
      <c r="H25" s="7"/>
      <c r="J25" s="7"/>
      <c r="K25" s="7"/>
      <c r="L25" s="7"/>
      <c r="M25" s="7"/>
      <c r="N25" s="7"/>
      <c r="O25" s="6"/>
      <c r="P25" s="5"/>
      <c r="Q25" s="4"/>
      <c r="U25" s="14"/>
      <c r="V25" s="14"/>
    </row>
    <row r="26" spans="1:38" x14ac:dyDescent="0.3">
      <c r="A26" s="5"/>
      <c r="B26" s="9"/>
      <c r="C26" s="8"/>
      <c r="D26" s="1"/>
      <c r="E26" s="7"/>
      <c r="F26" s="6"/>
      <c r="G26" s="7"/>
      <c r="H26" s="7"/>
      <c r="J26" s="7"/>
      <c r="K26" s="7"/>
      <c r="L26" s="7"/>
      <c r="M26" s="7"/>
      <c r="N26" s="7"/>
      <c r="O26" s="6"/>
      <c r="P26" s="5"/>
      <c r="Q26" s="4"/>
      <c r="U26" s="14"/>
      <c r="V26" s="14"/>
    </row>
    <row r="27" spans="1:38" x14ac:dyDescent="0.3">
      <c r="A27" s="5"/>
      <c r="B27" s="9"/>
      <c r="C27" s="8"/>
      <c r="D27" s="1"/>
      <c r="E27" s="7"/>
      <c r="F27" s="6"/>
      <c r="G27" s="7"/>
      <c r="H27" s="7"/>
      <c r="J27" s="7"/>
      <c r="K27" s="7"/>
      <c r="L27" s="7"/>
      <c r="M27" s="7"/>
      <c r="N27" s="7"/>
      <c r="O27" s="6"/>
      <c r="P27" s="5"/>
      <c r="Q27" s="4"/>
      <c r="U27" s="14"/>
      <c r="V27" s="14"/>
    </row>
    <row r="28" spans="1:38" x14ac:dyDescent="0.3">
      <c r="A28" s="5"/>
      <c r="B28" s="9"/>
      <c r="C28" s="8"/>
      <c r="D28" s="1"/>
      <c r="E28" s="7"/>
      <c r="F28" s="6"/>
      <c r="G28" s="7"/>
      <c r="H28" s="7"/>
      <c r="J28" s="7"/>
      <c r="K28" s="7"/>
      <c r="L28" s="7"/>
      <c r="M28" s="7"/>
      <c r="N28" s="7"/>
      <c r="O28" s="6"/>
      <c r="P28" s="5"/>
      <c r="Q28" s="4"/>
      <c r="U28" s="14"/>
      <c r="V28" s="14"/>
    </row>
    <row r="29" spans="1:38" x14ac:dyDescent="0.3">
      <c r="A29" s="5"/>
      <c r="B29" s="9"/>
      <c r="C29" s="8"/>
      <c r="D29" s="1"/>
      <c r="E29" s="7"/>
      <c r="F29" s="6"/>
      <c r="G29" s="7"/>
      <c r="H29" s="7"/>
      <c r="J29" s="7"/>
      <c r="K29" s="7"/>
      <c r="L29" s="7"/>
      <c r="M29" s="7"/>
      <c r="N29" s="7"/>
      <c r="O29" s="6"/>
      <c r="P29" s="5"/>
      <c r="Q29" s="4"/>
      <c r="R29" s="11"/>
      <c r="S29" s="15"/>
      <c r="T29" s="14"/>
      <c r="U29" s="14"/>
      <c r="V29" s="14"/>
    </row>
    <row r="30" spans="1:38" x14ac:dyDescent="0.3">
      <c r="A30" s="5"/>
      <c r="B30" s="9"/>
      <c r="C30" s="8"/>
      <c r="D30" s="1"/>
      <c r="E30" s="7"/>
      <c r="F30" s="6"/>
      <c r="G30" s="7"/>
      <c r="H30" s="7"/>
      <c r="J30" s="7"/>
      <c r="K30" s="7"/>
      <c r="L30" s="7"/>
      <c r="M30" s="7"/>
      <c r="N30" s="7"/>
      <c r="O30" s="6"/>
      <c r="P30" s="5"/>
      <c r="Q30" s="4"/>
      <c r="R30" s="11"/>
      <c r="S30" s="15"/>
      <c r="T30" s="14"/>
      <c r="U30" s="14"/>
      <c r="V30" s="14"/>
    </row>
    <row r="31" spans="1:38" x14ac:dyDescent="0.3">
      <c r="A31" s="5"/>
      <c r="B31" s="9"/>
      <c r="C31" s="8"/>
      <c r="D31" s="1"/>
      <c r="E31" s="7"/>
      <c r="F31" s="6"/>
      <c r="G31" s="7"/>
      <c r="H31" s="7"/>
      <c r="J31" s="7"/>
      <c r="K31" s="7"/>
      <c r="L31" s="7"/>
      <c r="M31" s="7"/>
      <c r="N31" s="7"/>
      <c r="O31" s="6"/>
      <c r="P31" s="5"/>
      <c r="Q31" s="4"/>
      <c r="R31" s="10"/>
      <c r="U31" s="14"/>
      <c r="V31" s="14"/>
    </row>
    <row r="32" spans="1:38" x14ac:dyDescent="0.3">
      <c r="A32" s="5"/>
      <c r="B32" s="9"/>
      <c r="C32" s="8"/>
      <c r="D32" s="1"/>
      <c r="E32" s="7"/>
      <c r="F32" s="6"/>
      <c r="G32" s="7"/>
      <c r="H32" s="7"/>
      <c r="J32" s="7"/>
      <c r="K32" s="7"/>
      <c r="L32" s="7"/>
      <c r="M32" s="7"/>
      <c r="N32" s="7"/>
      <c r="O32" s="6"/>
      <c r="P32" s="5"/>
      <c r="Q32" s="4"/>
      <c r="R32" s="10"/>
      <c r="U32" s="14"/>
      <c r="V32" s="14"/>
    </row>
    <row r="33" spans="1:36" x14ac:dyDescent="0.3">
      <c r="A33" s="5"/>
      <c r="B33" s="9"/>
      <c r="C33" s="8"/>
      <c r="D33" s="1"/>
      <c r="E33" s="7"/>
      <c r="F33" s="6"/>
      <c r="G33" s="7"/>
      <c r="H33" s="7"/>
      <c r="J33" s="7"/>
      <c r="K33" s="7"/>
      <c r="L33" s="7"/>
      <c r="M33" s="7"/>
      <c r="N33" s="7"/>
      <c r="O33" s="6"/>
      <c r="P33" s="5"/>
      <c r="Q33" s="4"/>
      <c r="R33" s="10"/>
      <c r="U33" s="14"/>
      <c r="V33" s="14"/>
    </row>
    <row r="34" spans="1:36" x14ac:dyDescent="0.3">
      <c r="A34" s="5"/>
      <c r="B34" s="9"/>
      <c r="C34" s="8"/>
      <c r="D34" s="1"/>
      <c r="E34" s="7"/>
      <c r="F34" s="6"/>
      <c r="G34" s="7"/>
      <c r="H34" s="7"/>
      <c r="J34" s="7"/>
      <c r="K34" s="7"/>
      <c r="L34" s="7"/>
      <c r="M34" s="7"/>
      <c r="N34" s="7"/>
      <c r="O34" s="6"/>
      <c r="P34" s="5"/>
      <c r="Q34" s="4"/>
      <c r="R34" s="10"/>
      <c r="U34" s="14"/>
      <c r="V34" s="14"/>
    </row>
    <row r="35" spans="1:36" x14ac:dyDescent="0.3">
      <c r="A35" s="5"/>
      <c r="B35" s="9"/>
      <c r="C35" s="8"/>
      <c r="D35" s="1"/>
      <c r="E35" s="7"/>
      <c r="F35" s="6"/>
      <c r="G35" s="7"/>
      <c r="H35" s="7"/>
      <c r="J35" s="7"/>
      <c r="K35" s="7"/>
      <c r="L35" s="7"/>
      <c r="M35" s="7"/>
      <c r="N35" s="7"/>
      <c r="O35" s="6"/>
      <c r="P35" s="5"/>
      <c r="Q35" s="4"/>
      <c r="R35" s="10"/>
      <c r="U35" s="14"/>
      <c r="V35" s="14"/>
    </row>
    <row r="36" spans="1:36" x14ac:dyDescent="0.3">
      <c r="A36" s="5"/>
      <c r="B36" s="9"/>
      <c r="C36" s="8"/>
      <c r="D36" s="1"/>
      <c r="E36" s="7"/>
      <c r="F36" s="6"/>
      <c r="G36" s="7"/>
      <c r="H36" s="7"/>
      <c r="J36" s="7"/>
      <c r="K36" s="7"/>
      <c r="L36" s="7"/>
      <c r="M36" s="7"/>
      <c r="N36" s="7"/>
      <c r="O36" s="6"/>
      <c r="P36" s="5"/>
      <c r="Q36" s="4"/>
      <c r="R36" s="10"/>
      <c r="U36" s="14"/>
      <c r="V36" s="14"/>
    </row>
    <row r="37" spans="1:36" x14ac:dyDescent="0.3">
      <c r="A37" s="2"/>
      <c r="B37" s="2"/>
      <c r="C37" s="2"/>
      <c r="D37" s="2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</row>
    <row r="38" spans="1:36" x14ac:dyDescent="0.3">
      <c r="A38" s="5"/>
      <c r="B38" s="9"/>
      <c r="C38" s="8"/>
      <c r="D38" s="1"/>
      <c r="E38" s="7"/>
      <c r="F38" s="6"/>
      <c r="G38" s="7"/>
      <c r="H38" s="7"/>
      <c r="J38" s="7"/>
      <c r="K38" s="7"/>
      <c r="L38" s="7"/>
      <c r="M38" s="7"/>
      <c r="N38" s="7"/>
      <c r="O38" s="26"/>
      <c r="P38" s="5"/>
      <c r="Q38" s="4"/>
      <c r="R38" s="10"/>
    </row>
    <row r="39" spans="1:36" x14ac:dyDescent="0.3">
      <c r="A39" s="5"/>
      <c r="B39" s="9"/>
      <c r="C39" s="8"/>
      <c r="D39" s="1"/>
      <c r="E39" s="7"/>
      <c r="F39" s="6"/>
      <c r="G39" s="7"/>
      <c r="H39" s="7"/>
      <c r="I39" s="20"/>
      <c r="J39" s="7"/>
      <c r="K39" s="7"/>
      <c r="L39" s="7"/>
      <c r="M39" s="7"/>
      <c r="N39" s="7"/>
      <c r="O39" s="26"/>
      <c r="P39" s="26"/>
      <c r="Q39" s="23"/>
      <c r="R39" s="15"/>
      <c r="S39" s="15"/>
      <c r="T39" s="14"/>
      <c r="U39" s="4"/>
      <c r="V39" s="4"/>
    </row>
    <row r="40" spans="1:36" x14ac:dyDescent="0.3">
      <c r="A40" s="5"/>
      <c r="B40" s="9"/>
      <c r="C40" s="8"/>
      <c r="D40" s="1"/>
      <c r="E40" s="7"/>
      <c r="F40" s="6"/>
      <c r="G40" s="7"/>
      <c r="H40" s="7"/>
      <c r="I40" s="20"/>
      <c r="J40" s="7"/>
      <c r="K40" s="7"/>
      <c r="L40" s="7"/>
      <c r="M40" s="7"/>
      <c r="N40" s="7"/>
      <c r="O40" s="6"/>
      <c r="P40" s="5"/>
      <c r="Q40" s="23"/>
      <c r="R40" s="30"/>
      <c r="S40" s="15"/>
      <c r="T40" s="14"/>
      <c r="U40" s="14"/>
      <c r="V40" s="14"/>
    </row>
    <row r="41" spans="1:36" x14ac:dyDescent="0.3">
      <c r="A41" s="5"/>
      <c r="B41" s="9"/>
      <c r="C41" s="8"/>
      <c r="D41" s="1"/>
      <c r="E41" s="7"/>
      <c r="F41" s="6"/>
      <c r="G41" s="7"/>
      <c r="H41" s="7"/>
      <c r="J41" s="7"/>
      <c r="K41" s="7"/>
      <c r="L41" s="7"/>
      <c r="M41" s="7"/>
      <c r="N41" s="7"/>
      <c r="O41" s="6"/>
      <c r="P41" s="5"/>
      <c r="Q41" s="23"/>
      <c r="R41" s="15"/>
      <c r="S41" s="12"/>
      <c r="T41" s="14"/>
      <c r="U41" s="14"/>
      <c r="V41" s="14"/>
    </row>
    <row r="42" spans="1:36" x14ac:dyDescent="0.3">
      <c r="A42" s="5"/>
      <c r="B42" s="9"/>
      <c r="C42" s="8"/>
      <c r="D42" s="1"/>
      <c r="E42" s="7"/>
      <c r="F42" s="6"/>
      <c r="G42" s="7"/>
      <c r="H42" s="7"/>
      <c r="J42" s="7"/>
      <c r="K42" s="7"/>
      <c r="L42" s="7"/>
      <c r="M42" s="7"/>
      <c r="N42" s="7"/>
      <c r="O42" s="26"/>
      <c r="P42" s="4"/>
      <c r="Q42" s="23"/>
      <c r="R42" s="30"/>
      <c r="S42" s="15"/>
      <c r="T42" s="14"/>
      <c r="U42" s="4"/>
      <c r="V42" s="4"/>
    </row>
    <row r="43" spans="1:36" x14ac:dyDescent="0.3">
      <c r="A43" s="2" t="s">
        <v>25</v>
      </c>
      <c r="B43" s="2" t="s">
        <v>26</v>
      </c>
      <c r="C43" s="2" t="s">
        <v>0</v>
      </c>
      <c r="D43" s="2" t="s">
        <v>1</v>
      </c>
      <c r="E43" s="3" t="s">
        <v>27</v>
      </c>
      <c r="F43" s="3" t="s">
        <v>28</v>
      </c>
      <c r="G43" s="3" t="s">
        <v>29</v>
      </c>
      <c r="H43" s="3" t="s">
        <v>30</v>
      </c>
      <c r="I43" s="3" t="s">
        <v>31</v>
      </c>
      <c r="J43" s="3" t="s">
        <v>32</v>
      </c>
      <c r="K43" s="3" t="s">
        <v>33</v>
      </c>
      <c r="L43" s="3" t="s">
        <v>34</v>
      </c>
      <c r="M43" s="3" t="s">
        <v>35</v>
      </c>
      <c r="N43" s="3" t="s">
        <v>36</v>
      </c>
      <c r="O43" s="3" t="s">
        <v>37</v>
      </c>
      <c r="P43" s="3" t="s">
        <v>2</v>
      </c>
      <c r="Q43" s="3" t="s">
        <v>48</v>
      </c>
      <c r="R43" s="3" t="s">
        <v>38</v>
      </c>
      <c r="S43" s="3" t="s">
        <v>3</v>
      </c>
      <c r="T43" s="3" t="s">
        <v>39</v>
      </c>
      <c r="U43" s="3" t="s">
        <v>70</v>
      </c>
      <c r="V43" s="3" t="s">
        <v>64</v>
      </c>
      <c r="W43" s="3" t="s">
        <v>42</v>
      </c>
      <c r="X43" s="3" t="s">
        <v>43</v>
      </c>
      <c r="Y43" s="3" t="s">
        <v>40</v>
      </c>
      <c r="Z43" s="3" t="s">
        <v>41</v>
      </c>
    </row>
    <row r="44" spans="1:36" x14ac:dyDescent="0.3">
      <c r="A44" s="2"/>
      <c r="B44" s="2"/>
      <c r="C44" s="2"/>
      <c r="D44" s="2"/>
      <c r="E44" s="3"/>
      <c r="F44" s="3"/>
      <c r="G44" s="3"/>
      <c r="H44" s="3"/>
      <c r="I44" s="3">
        <f>ACOS(1-SQRT(3)/2)</f>
        <v>1.4364176690331516</v>
      </c>
      <c r="J44" s="3"/>
      <c r="K44" s="3"/>
      <c r="L44" s="3"/>
      <c r="M44" s="3"/>
      <c r="N44" s="3"/>
      <c r="O44" s="14">
        <f>1-4/9*PI()^5*S44</f>
        <v>7.4962075447779775E-3</v>
      </c>
      <c r="P44" s="3"/>
      <c r="Q44" s="3"/>
      <c r="R44" s="3"/>
      <c r="S44" s="12">
        <v>7.2973525693000004E-3</v>
      </c>
      <c r="T44" s="3"/>
      <c r="U44" s="3"/>
      <c r="V44" s="3"/>
      <c r="AG44" s="2"/>
      <c r="AH44" s="2"/>
      <c r="AI44" s="2"/>
      <c r="AJ44" s="3"/>
    </row>
    <row r="45" spans="1:36" x14ac:dyDescent="0.3">
      <c r="A45" s="5"/>
      <c r="B45" s="9"/>
      <c r="C45" s="8"/>
      <c r="D45" s="1"/>
      <c r="E45" s="7"/>
      <c r="F45" s="6"/>
      <c r="G45" s="7"/>
      <c r="H45" s="7"/>
      <c r="J45" s="7"/>
      <c r="K45" s="7"/>
      <c r="L45" s="16"/>
      <c r="M45" s="7"/>
      <c r="N45" s="7"/>
      <c r="O45" s="6"/>
      <c r="P45" s="21"/>
      <c r="Q45" s="23"/>
      <c r="R45" s="15"/>
      <c r="S45" s="22"/>
      <c r="T45" s="14"/>
      <c r="U45" s="14"/>
      <c r="V45" s="14"/>
    </row>
    <row r="46" spans="1:36" x14ac:dyDescent="0.3">
      <c r="A46" s="5"/>
      <c r="B46" s="9"/>
      <c r="C46" s="8"/>
      <c r="D46" s="1"/>
      <c r="E46" s="7"/>
      <c r="F46" s="6"/>
      <c r="G46" s="7"/>
      <c r="H46" s="21"/>
      <c r="J46" s="7"/>
      <c r="K46" s="7"/>
      <c r="L46" s="16"/>
      <c r="M46" s="7"/>
      <c r="N46" s="7"/>
      <c r="O46" s="6"/>
      <c r="P46" s="21"/>
      <c r="Q46" s="23"/>
      <c r="R46" s="15"/>
      <c r="S46" s="22"/>
      <c r="T46" s="14"/>
      <c r="U46" s="14"/>
      <c r="V46" s="14"/>
    </row>
    <row r="47" spans="1:36" x14ac:dyDescent="0.3">
      <c r="H47" s="21"/>
      <c r="L47" s="7"/>
      <c r="R47" s="16"/>
    </row>
    <row r="48" spans="1:36" x14ac:dyDescent="0.3">
      <c r="A48" s="5"/>
      <c r="B48" s="9"/>
      <c r="C48" s="8"/>
      <c r="D48" s="1"/>
      <c r="E48" s="7"/>
      <c r="F48" s="6"/>
      <c r="G48" s="7"/>
      <c r="H48" s="7"/>
      <c r="J48" s="7"/>
      <c r="K48" s="7"/>
      <c r="L48" s="7"/>
      <c r="M48" s="7"/>
      <c r="N48" s="7"/>
      <c r="O48" s="6"/>
      <c r="P48" s="5"/>
      <c r="Q48" s="4"/>
      <c r="R48" s="14"/>
      <c r="S48" s="15"/>
      <c r="T48" s="14"/>
      <c r="U48" s="14"/>
      <c r="V48" s="14"/>
    </row>
    <row r="49" spans="1:36" x14ac:dyDescent="0.3">
      <c r="A49" s="5"/>
      <c r="B49" s="9"/>
      <c r="C49" s="8"/>
      <c r="D49" s="1"/>
      <c r="E49" s="7"/>
      <c r="F49" s="6"/>
      <c r="G49" s="7"/>
      <c r="H49" s="7"/>
      <c r="J49" s="7"/>
      <c r="K49" s="7"/>
      <c r="L49" s="7"/>
      <c r="M49" s="7"/>
      <c r="N49" s="7"/>
      <c r="O49" s="6"/>
      <c r="P49" s="5"/>
      <c r="Q49" s="4"/>
      <c r="S49" s="15"/>
      <c r="T49" s="14"/>
      <c r="U49" s="14"/>
      <c r="V49" s="14"/>
      <c r="W49" s="33">
        <f>SQRT((1-S44)/PI()^5)</f>
        <v>5.6955400267550443E-2</v>
      </c>
      <c r="X49" s="33">
        <f>SQRT((1-S44)/PI()^5)/2</f>
        <v>2.8477700133775222E-2</v>
      </c>
    </row>
    <row r="50" spans="1:36" x14ac:dyDescent="0.3">
      <c r="A50" s="5"/>
      <c r="B50" s="9"/>
      <c r="C50" s="8"/>
      <c r="D50" s="1"/>
      <c r="E50" s="7"/>
      <c r="F50" s="6"/>
      <c r="G50" s="7"/>
      <c r="H50" s="7"/>
      <c r="J50" s="7"/>
      <c r="K50" s="7"/>
      <c r="L50" s="7"/>
      <c r="M50" s="7"/>
      <c r="N50" s="7"/>
      <c r="O50" s="6"/>
      <c r="P50" s="5"/>
      <c r="Q50" s="4"/>
      <c r="R50" s="14"/>
      <c r="S50" s="15"/>
      <c r="T50" s="14"/>
      <c r="U50" s="14"/>
      <c r="V50" s="14"/>
      <c r="W50" s="33">
        <f>2/3*SQRT(S44)</f>
        <v>5.6949695421290691E-2</v>
      </c>
      <c r="X50" s="33">
        <f>SQRT(S44)/3</f>
        <v>2.8474847710645346E-2</v>
      </c>
    </row>
    <row r="51" spans="1:36" x14ac:dyDescent="0.3">
      <c r="A51" s="5"/>
      <c r="B51" s="9"/>
      <c r="C51" s="8"/>
      <c r="D51" s="1"/>
      <c r="E51" s="7"/>
      <c r="F51" s="6"/>
      <c r="G51" s="7"/>
      <c r="H51" s="7"/>
      <c r="J51" s="7"/>
      <c r="K51" s="7"/>
      <c r="L51" s="7"/>
      <c r="M51" s="7"/>
      <c r="N51" s="7"/>
      <c r="O51" s="6"/>
      <c r="P51" s="5"/>
      <c r="Q51" s="4"/>
      <c r="R51" s="14"/>
      <c r="S51" s="12"/>
      <c r="T51" s="16"/>
      <c r="U51" s="14"/>
      <c r="V51" s="14"/>
    </row>
    <row r="52" spans="1:36" x14ac:dyDescent="0.3">
      <c r="A52" s="5"/>
      <c r="B52" s="9"/>
      <c r="C52" s="8"/>
      <c r="D52" s="1"/>
      <c r="E52" s="7"/>
      <c r="F52" s="6"/>
      <c r="G52" s="7"/>
      <c r="H52" s="7"/>
      <c r="J52" s="7"/>
      <c r="K52" s="7"/>
      <c r="L52" s="7"/>
      <c r="M52" s="7"/>
      <c r="N52" s="7"/>
      <c r="O52" s="6"/>
      <c r="P52" s="5"/>
      <c r="Q52" s="4"/>
      <c r="R52" s="14"/>
      <c r="S52" s="15"/>
      <c r="T52" s="14"/>
      <c r="U52" s="14"/>
      <c r="V52" s="14"/>
    </row>
    <row r="53" spans="1:36" x14ac:dyDescent="0.3">
      <c r="A53" s="5"/>
      <c r="B53" s="9"/>
      <c r="C53" s="8"/>
      <c r="D53" s="1"/>
      <c r="E53" s="7"/>
      <c r="F53" s="6"/>
      <c r="G53" s="7"/>
      <c r="H53" s="7"/>
      <c r="J53" s="7"/>
      <c r="K53" s="7"/>
      <c r="L53" s="7"/>
      <c r="M53" s="7"/>
      <c r="N53" s="7"/>
      <c r="O53" s="6"/>
      <c r="P53" s="5"/>
      <c r="Q53" s="4"/>
      <c r="R53" s="14"/>
      <c r="S53" s="15"/>
      <c r="T53" s="14"/>
      <c r="U53" s="14"/>
      <c r="V53" s="14"/>
    </row>
    <row r="54" spans="1:36" x14ac:dyDescent="0.3">
      <c r="A54" s="5"/>
      <c r="B54" s="9"/>
      <c r="C54" s="8"/>
      <c r="D54" s="1"/>
      <c r="E54" s="7"/>
      <c r="F54" s="6"/>
      <c r="G54" s="7"/>
      <c r="H54" s="7"/>
      <c r="J54" s="7"/>
      <c r="K54" s="7"/>
      <c r="L54" s="7"/>
      <c r="M54" s="7"/>
      <c r="N54" s="7"/>
      <c r="O54" s="6"/>
      <c r="P54" s="5"/>
      <c r="Q54" s="4"/>
      <c r="R54" s="14"/>
      <c r="S54" s="12"/>
      <c r="T54" s="16"/>
      <c r="U54" s="14"/>
      <c r="V54" s="14"/>
    </row>
    <row r="55" spans="1:36" x14ac:dyDescent="0.3">
      <c r="A55" s="5"/>
      <c r="B55" s="9"/>
      <c r="C55" s="8"/>
      <c r="D55" s="1"/>
      <c r="E55" s="7"/>
      <c r="F55" s="6"/>
      <c r="G55" s="7"/>
      <c r="H55" s="7"/>
      <c r="J55" s="7"/>
      <c r="K55" s="7"/>
      <c r="L55" s="7"/>
      <c r="M55" s="7"/>
      <c r="N55" s="7"/>
      <c r="O55" s="6"/>
      <c r="P55" s="5"/>
      <c r="Q55" s="4"/>
      <c r="R55" s="14"/>
      <c r="S55" s="12"/>
      <c r="T55" s="16"/>
      <c r="U55" s="14"/>
      <c r="V55" s="14"/>
    </row>
    <row r="56" spans="1:36" x14ac:dyDescent="0.3">
      <c r="A56" s="5"/>
      <c r="B56" s="9"/>
      <c r="C56" s="8"/>
      <c r="D56" s="1"/>
      <c r="E56" s="7"/>
      <c r="F56" s="6"/>
      <c r="G56" s="7"/>
      <c r="H56" s="7"/>
      <c r="J56" s="7"/>
      <c r="K56" s="7"/>
      <c r="L56" s="7"/>
      <c r="M56" s="7"/>
      <c r="N56" s="7"/>
      <c r="O56" s="6"/>
      <c r="P56" s="5"/>
      <c r="Q56" s="4"/>
      <c r="R56" s="14"/>
      <c r="S56" s="12"/>
      <c r="T56" s="16"/>
      <c r="U56" s="14"/>
      <c r="V56" s="14"/>
    </row>
    <row r="57" spans="1:36" x14ac:dyDescent="0.3">
      <c r="A57" s="5"/>
      <c r="B57" s="9"/>
      <c r="C57" s="8"/>
      <c r="D57" s="1"/>
      <c r="E57" s="7"/>
      <c r="F57" s="6"/>
      <c r="G57" s="7"/>
      <c r="H57" s="7"/>
      <c r="J57" s="7"/>
      <c r="K57" s="7"/>
      <c r="L57" s="7"/>
      <c r="M57" s="7"/>
      <c r="N57" s="7"/>
      <c r="O57" s="6"/>
      <c r="P57" s="5"/>
      <c r="Q57" s="4"/>
      <c r="R57" s="14"/>
      <c r="S57" s="12"/>
      <c r="T57" s="16"/>
      <c r="U57" s="14"/>
      <c r="V57" s="14"/>
    </row>
    <row r="58" spans="1:36" x14ac:dyDescent="0.3">
      <c r="A58" s="5"/>
      <c r="B58" s="9"/>
      <c r="C58" s="8"/>
      <c r="D58" s="1"/>
      <c r="E58" s="7"/>
      <c r="F58" s="6"/>
      <c r="G58" s="7"/>
      <c r="H58" s="7"/>
      <c r="J58" s="7"/>
      <c r="K58" s="7"/>
      <c r="L58" s="7"/>
      <c r="M58" s="7"/>
      <c r="N58" s="7"/>
      <c r="O58" s="6"/>
      <c r="P58" s="21"/>
      <c r="Q58" s="23"/>
      <c r="R58" s="15"/>
      <c r="S58" s="12"/>
      <c r="T58" s="14"/>
      <c r="U58" s="14"/>
      <c r="V58" s="14"/>
      <c r="W58" s="6"/>
    </row>
    <row r="59" spans="1:36" x14ac:dyDescent="0.3">
      <c r="A59" s="5"/>
      <c r="B59" s="9"/>
      <c r="C59" s="8"/>
      <c r="D59" s="1"/>
      <c r="E59" s="7"/>
      <c r="F59" s="6"/>
      <c r="G59" s="7"/>
      <c r="H59" s="7"/>
      <c r="J59" s="7"/>
      <c r="K59" s="7"/>
      <c r="L59" s="7"/>
      <c r="M59" s="7"/>
      <c r="N59" s="7"/>
      <c r="O59" s="6"/>
      <c r="P59" s="21"/>
      <c r="Q59" s="23"/>
      <c r="R59" s="15"/>
      <c r="S59" s="3"/>
      <c r="T59" s="3"/>
      <c r="U59" s="3"/>
      <c r="V59" s="3"/>
      <c r="W59" s="6"/>
    </row>
    <row r="60" spans="1:36" x14ac:dyDescent="0.3">
      <c r="S60" s="31"/>
      <c r="T60" s="26"/>
      <c r="U60" s="4"/>
      <c r="V60" s="4"/>
    </row>
    <row r="61" spans="1:36" x14ac:dyDescent="0.3">
      <c r="A61" s="5"/>
      <c r="B61" s="9"/>
      <c r="C61" s="8"/>
      <c r="D61" s="1"/>
      <c r="E61" s="7"/>
      <c r="F61" s="6"/>
      <c r="G61" s="7"/>
      <c r="H61" s="7"/>
      <c r="J61" s="7"/>
      <c r="K61" s="7"/>
      <c r="L61" s="7"/>
      <c r="M61" s="7"/>
      <c r="N61" s="7"/>
      <c r="O61" s="6"/>
      <c r="P61" s="5"/>
      <c r="Q61" s="23"/>
      <c r="S61" s="15"/>
      <c r="T61" s="14"/>
      <c r="U61" s="14"/>
      <c r="V61" s="14"/>
    </row>
    <row r="62" spans="1:36" x14ac:dyDescent="0.3">
      <c r="A62" s="5"/>
      <c r="B62" s="9"/>
      <c r="C62" s="8"/>
      <c r="D62" s="1"/>
      <c r="E62" s="7"/>
      <c r="F62" s="6"/>
      <c r="G62" s="7"/>
      <c r="H62" s="7"/>
      <c r="J62" s="7"/>
      <c r="K62" s="7"/>
      <c r="L62" s="7"/>
      <c r="M62" s="7"/>
      <c r="N62" s="7"/>
      <c r="O62" s="6"/>
      <c r="P62" s="5"/>
      <c r="Q62" s="23"/>
      <c r="R62" s="15"/>
      <c r="S62" s="15"/>
      <c r="T62" s="14"/>
      <c r="U62" s="14"/>
      <c r="V62" s="14"/>
    </row>
    <row r="63" spans="1:36" x14ac:dyDescent="0.3">
      <c r="A63" s="5"/>
      <c r="B63" s="9"/>
      <c r="C63" s="8"/>
      <c r="D63" s="1"/>
      <c r="E63" s="7"/>
      <c r="F63" s="6"/>
      <c r="G63" s="7"/>
      <c r="H63" s="7"/>
      <c r="J63" s="7"/>
      <c r="K63" s="7"/>
      <c r="L63" s="7"/>
      <c r="M63" s="7"/>
      <c r="N63" s="7"/>
      <c r="O63" s="6"/>
      <c r="P63" s="5"/>
      <c r="Q63" s="23"/>
      <c r="R63" s="15"/>
      <c r="S63" s="12"/>
      <c r="T63" s="14"/>
      <c r="U63" s="14"/>
      <c r="V63" s="14"/>
      <c r="W63" s="6"/>
    </row>
    <row r="64" spans="1:36" x14ac:dyDescent="0.3">
      <c r="A64" s="5"/>
      <c r="B64" s="9"/>
      <c r="C64" s="8"/>
      <c r="D64" s="1"/>
      <c r="E64" s="7"/>
      <c r="F64" s="6"/>
      <c r="G64" s="7"/>
      <c r="H64" s="7"/>
      <c r="J64" s="7"/>
      <c r="K64" s="7"/>
      <c r="L64" s="7"/>
      <c r="M64" s="7"/>
      <c r="N64" s="7"/>
      <c r="O64" s="6"/>
      <c r="P64" s="5"/>
      <c r="Q64" s="23"/>
      <c r="R64" s="15"/>
      <c r="S64" s="12"/>
      <c r="T64" s="14"/>
      <c r="U64" s="14"/>
      <c r="V64" s="14"/>
      <c r="AG64" s="6"/>
      <c r="AH64" s="6"/>
      <c r="AI64" s="6"/>
      <c r="AJ64" s="6"/>
    </row>
    <row r="65" spans="1:26" x14ac:dyDescent="0.3">
      <c r="A65" s="5"/>
      <c r="B65" s="9"/>
      <c r="C65" s="8"/>
      <c r="D65" s="1"/>
      <c r="E65" s="7"/>
      <c r="F65" s="6"/>
      <c r="G65" s="7"/>
      <c r="H65" s="7"/>
      <c r="J65" s="7"/>
      <c r="K65" s="7"/>
      <c r="L65" s="7"/>
      <c r="M65" s="7"/>
      <c r="N65" s="7"/>
      <c r="O65" s="6"/>
      <c r="P65" s="5"/>
      <c r="Q65" s="23"/>
      <c r="R65" s="15"/>
      <c r="S65" s="12"/>
      <c r="T65" s="14"/>
      <c r="U65" s="14"/>
      <c r="V65" s="14"/>
      <c r="W65" s="6"/>
    </row>
    <row r="66" spans="1:26" x14ac:dyDescent="0.3">
      <c r="A66" s="5"/>
      <c r="B66" s="9"/>
      <c r="C66" s="8"/>
      <c r="D66" s="1"/>
      <c r="E66" s="7"/>
      <c r="F66" s="6"/>
      <c r="G66" s="7"/>
      <c r="H66" s="7"/>
      <c r="J66" s="7"/>
      <c r="K66" s="7"/>
      <c r="L66" s="7"/>
      <c r="M66" s="7"/>
      <c r="N66" s="7"/>
      <c r="O66" s="6"/>
      <c r="P66" s="5"/>
      <c r="Q66" s="23"/>
      <c r="R66" s="24"/>
      <c r="S66" s="15"/>
      <c r="T66" s="14"/>
      <c r="U66" s="14"/>
      <c r="V66" s="14"/>
    </row>
    <row r="67" spans="1:26" x14ac:dyDescent="0.3">
      <c r="A67" s="5"/>
      <c r="B67" s="9"/>
      <c r="C67" s="8"/>
      <c r="D67" s="1"/>
      <c r="E67" s="7"/>
      <c r="F67" s="6"/>
      <c r="G67" s="7"/>
      <c r="H67" s="7"/>
      <c r="J67" s="7"/>
      <c r="K67" s="7"/>
      <c r="L67" s="7"/>
      <c r="M67" s="7"/>
      <c r="N67" s="7"/>
      <c r="O67" s="6"/>
      <c r="P67" s="5"/>
      <c r="Q67" s="23"/>
      <c r="R67" s="11"/>
      <c r="S67" s="15"/>
      <c r="T67" s="14"/>
      <c r="U67" s="14"/>
      <c r="V67" s="14"/>
    </row>
    <row r="68" spans="1:26" x14ac:dyDescent="0.3">
      <c r="A68" s="5"/>
      <c r="B68" s="9"/>
      <c r="C68" s="8"/>
      <c r="D68" s="1"/>
      <c r="E68" s="7"/>
      <c r="F68" s="6"/>
      <c r="G68" s="7"/>
      <c r="H68" s="7"/>
      <c r="J68" s="7"/>
      <c r="K68" s="7"/>
      <c r="L68" s="7"/>
      <c r="M68" s="7"/>
      <c r="N68" s="7"/>
      <c r="O68" s="6"/>
      <c r="P68" s="5"/>
      <c r="Q68" s="23"/>
      <c r="R68" s="11"/>
      <c r="S68" s="15"/>
      <c r="T68" s="14"/>
      <c r="U68" s="14"/>
      <c r="V68" s="14"/>
    </row>
    <row r="69" spans="1:26" x14ac:dyDescent="0.3">
      <c r="A69" s="5"/>
      <c r="B69" s="9"/>
      <c r="C69" s="8"/>
      <c r="D69" s="1"/>
      <c r="E69" s="7"/>
      <c r="F69" s="6"/>
      <c r="G69" s="7"/>
      <c r="H69" s="7"/>
      <c r="J69" s="7"/>
      <c r="K69" s="7"/>
      <c r="L69" s="7"/>
      <c r="M69" s="7"/>
      <c r="N69" s="7"/>
      <c r="O69" s="6"/>
      <c r="P69" s="21"/>
      <c r="Q69" s="23"/>
      <c r="R69" s="12"/>
      <c r="S69" s="12"/>
      <c r="T69" s="14"/>
      <c r="U69" s="14"/>
      <c r="V69" s="14"/>
      <c r="W69" s="6"/>
      <c r="X69" s="6"/>
    </row>
    <row r="70" spans="1:26" x14ac:dyDescent="0.3">
      <c r="A70" s="5"/>
      <c r="B70" s="9"/>
      <c r="C70" s="8"/>
      <c r="D70" s="1"/>
      <c r="E70" s="7"/>
      <c r="F70" s="6"/>
      <c r="G70" s="7"/>
      <c r="H70" s="7"/>
      <c r="J70" s="7"/>
      <c r="K70" s="7"/>
      <c r="L70" s="7"/>
      <c r="M70" s="7"/>
      <c r="N70" s="7"/>
      <c r="O70" s="6"/>
      <c r="P70" s="5"/>
      <c r="Q70" s="23"/>
      <c r="R70" s="15"/>
      <c r="S70" s="15"/>
      <c r="T70" s="14"/>
      <c r="U70" s="14"/>
      <c r="V70" s="14"/>
    </row>
    <row r="71" spans="1:26" x14ac:dyDescent="0.3">
      <c r="O71" s="26"/>
      <c r="W71" s="4"/>
      <c r="X71" s="4"/>
      <c r="Y71" s="26">
        <f>13/24*(1-O44)</f>
        <v>0.53760622091324528</v>
      </c>
      <c r="Z71" s="4"/>
    </row>
    <row r="72" spans="1:26" x14ac:dyDescent="0.3">
      <c r="X72" s="4"/>
      <c r="Z72" s="26">
        <f>0.5*(1+(I44/PI())^2)*(1-O44)</f>
        <v>0.59999611655025642</v>
      </c>
    </row>
    <row r="73" spans="1:26" x14ac:dyDescent="0.3">
      <c r="A73" s="5"/>
      <c r="B73" s="9"/>
      <c r="C73" s="8"/>
      <c r="D73" s="1"/>
      <c r="E73" s="7"/>
      <c r="F73" s="6"/>
      <c r="G73" s="7"/>
      <c r="H73" s="7"/>
      <c r="I73" s="6"/>
      <c r="J73" s="7"/>
      <c r="K73" s="7"/>
      <c r="L73" s="7"/>
      <c r="M73" s="7"/>
      <c r="N73" s="7"/>
      <c r="O73" s="6"/>
      <c r="P73" s="5"/>
      <c r="Q73" s="4"/>
    </row>
    <row r="74" spans="1:26" x14ac:dyDescent="0.3">
      <c r="A74" s="5"/>
      <c r="B74" s="9"/>
      <c r="C74" s="8"/>
      <c r="D74" s="1"/>
      <c r="E74" s="7"/>
      <c r="F74" s="6"/>
      <c r="G74" s="3"/>
      <c r="H74" s="13"/>
      <c r="I74" s="13"/>
      <c r="J74" s="13"/>
      <c r="K74" s="7"/>
      <c r="L74" s="7"/>
      <c r="M74" s="7"/>
      <c r="N74" s="7"/>
      <c r="O74" s="25">
        <f>(I44^2-PI()^2/5)/(PI()^2+I44^2)</f>
        <v>7.4897836055357204E-3</v>
      </c>
      <c r="P74" s="5"/>
      <c r="Q74" s="4"/>
    </row>
    <row r="75" spans="1:26" x14ac:dyDescent="0.3">
      <c r="A75" s="5"/>
      <c r="B75" s="9"/>
      <c r="C75" s="8"/>
      <c r="D75" s="1"/>
      <c r="E75" s="7"/>
      <c r="F75" s="6"/>
      <c r="G75" s="7"/>
      <c r="H75" s="7"/>
      <c r="I75" s="6"/>
      <c r="J75" s="7"/>
      <c r="K75" s="7"/>
      <c r="L75" s="7"/>
      <c r="M75" s="7"/>
      <c r="N75" s="7"/>
      <c r="O75" s="6"/>
      <c r="P75" s="5"/>
      <c r="Q75" s="4"/>
    </row>
    <row r="76" spans="1:26" x14ac:dyDescent="0.3">
      <c r="A76" s="2"/>
      <c r="B76" s="2"/>
      <c r="C76" s="2"/>
      <c r="D76" s="2"/>
      <c r="E76" s="3"/>
      <c r="F76" s="3"/>
      <c r="G76" s="3"/>
      <c r="S76" s="10">
        <f>1/(10*PI()^3/27*(PI()^2+I44^2))</f>
        <v>7.2973998011089782E-3</v>
      </c>
    </row>
    <row r="77" spans="1:26" x14ac:dyDescent="0.3">
      <c r="A77" s="5"/>
      <c r="B77" s="9"/>
      <c r="C77" s="8"/>
      <c r="D77" s="1"/>
      <c r="E77" s="7"/>
      <c r="F77" s="6"/>
      <c r="G77" s="7"/>
      <c r="H77" s="7"/>
      <c r="I77" s="6"/>
      <c r="J77" s="7"/>
      <c r="K77" s="7"/>
    </row>
    <row r="78" spans="1:26" x14ac:dyDescent="0.3">
      <c r="A78" s="5"/>
      <c r="B78" s="9"/>
      <c r="C78" s="8"/>
      <c r="D78" s="1"/>
      <c r="E78" s="7"/>
      <c r="F78" s="6"/>
      <c r="G78" s="3"/>
      <c r="H78" s="13"/>
      <c r="I78" s="13"/>
      <c r="J78" s="13"/>
      <c r="K78" s="7"/>
      <c r="W78" s="23">
        <f>SQRT(6/(5*PI()^3*(PI()^2+I44^2)))/SQRT(S44)*T119</f>
        <v>1.0681212126697424E-19</v>
      </c>
    </row>
    <row r="79" spans="1:26" x14ac:dyDescent="0.3">
      <c r="A79" s="5"/>
      <c r="B79" s="9"/>
      <c r="C79" s="8"/>
      <c r="D79" s="1"/>
      <c r="E79" s="7"/>
      <c r="F79" s="6"/>
      <c r="G79" s="7"/>
      <c r="H79" s="7"/>
      <c r="I79" s="6"/>
      <c r="J79" s="7"/>
      <c r="K79" s="7"/>
      <c r="X79" s="23">
        <f>SQRT(3/(10*PI()^3*(PI()^2+I44^2)))/SQRT(S44)*T119</f>
        <v>5.3406060633487118E-20</v>
      </c>
    </row>
    <row r="83" spans="15:35" x14ac:dyDescent="0.3">
      <c r="Y83" s="2" t="s">
        <v>44</v>
      </c>
      <c r="Z83" s="2" t="s">
        <v>45</v>
      </c>
      <c r="AA83" s="2" t="s">
        <v>46</v>
      </c>
      <c r="AB83" s="2" t="s">
        <v>47</v>
      </c>
    </row>
    <row r="84" spans="15:35" x14ac:dyDescent="0.3">
      <c r="S84" s="12"/>
      <c r="Y84" s="11">
        <f>4*PI()^5/9*S44</f>
        <v>0.99250379245522202</v>
      </c>
    </row>
    <row r="85" spans="15:35" x14ac:dyDescent="0.3">
      <c r="S85" s="12"/>
      <c r="Z85" s="15">
        <f>4*PI()^3/9*I44^2*S44</f>
        <v>0.20748844064529082</v>
      </c>
    </row>
    <row r="86" spans="15:35" x14ac:dyDescent="0.3">
      <c r="S86" s="12"/>
      <c r="AA86" s="11">
        <f>PI()^5/3*S44</f>
        <v>0.74437784434141652</v>
      </c>
    </row>
    <row r="87" spans="15:35" x14ac:dyDescent="0.3">
      <c r="S87" s="12"/>
      <c r="AB87" s="15">
        <f>4*PI()^5/27*S44</f>
        <v>0.33083459748507399</v>
      </c>
    </row>
    <row r="89" spans="15:35" x14ac:dyDescent="0.3">
      <c r="O89" s="25"/>
    </row>
    <row r="90" spans="15:35" x14ac:dyDescent="0.3">
      <c r="O90" s="25"/>
    </row>
    <row r="91" spans="15:35" x14ac:dyDescent="0.3">
      <c r="O91" s="25"/>
      <c r="AC91" s="2" t="s">
        <v>73</v>
      </c>
      <c r="AI91" s="2" t="s">
        <v>77</v>
      </c>
    </row>
    <row r="92" spans="15:35" x14ac:dyDescent="0.3">
      <c r="O92" s="25"/>
      <c r="AC92" s="34">
        <f>AI92/(SQRT(3)-1)</f>
        <v>1281.7035080884325</v>
      </c>
      <c r="AI92">
        <v>938.27208815999995</v>
      </c>
    </row>
    <row r="93" spans="15:35" x14ac:dyDescent="0.3">
      <c r="O93" s="25"/>
      <c r="AC93" s="34">
        <f>AI92/(SQRT(3)-1)-2.88</f>
        <v>1278.8235080884324</v>
      </c>
      <c r="AD93" s="2" t="s">
        <v>74</v>
      </c>
      <c r="AE93" s="2" t="s">
        <v>75</v>
      </c>
      <c r="AF93" s="2" t="s">
        <v>76</v>
      </c>
      <c r="AG93" s="2" t="s">
        <v>75</v>
      </c>
      <c r="AH93" s="2" t="s">
        <v>76</v>
      </c>
    </row>
    <row r="94" spans="15:35" x14ac:dyDescent="0.3">
      <c r="O94" s="25"/>
      <c r="AC94" s="24">
        <v>1270</v>
      </c>
      <c r="AD94" s="35">
        <f>ASIN(SQRT(3)*AI92/(4*PI()*AC94))</f>
        <v>0.10200683397305717</v>
      </c>
    </row>
    <row r="95" spans="15:35" x14ac:dyDescent="0.3">
      <c r="O95" s="25"/>
      <c r="AC95" s="34"/>
      <c r="AE95" s="34">
        <f>(1-COS(AD94))/2*100</f>
        <v>0.25990936551117394</v>
      </c>
      <c r="AG95" s="34">
        <f>50*(1-SQRT(1-3*AI92^2/(16*PI()^2*AC94^2)))</f>
        <v>0.25990936551117394</v>
      </c>
    </row>
    <row r="96" spans="15:35" x14ac:dyDescent="0.3">
      <c r="O96" s="25"/>
      <c r="AC96" s="34"/>
      <c r="AF96" s="36">
        <f>AC94/AI92*(1-COS(AD94))*100</f>
        <v>0.70360164895559119</v>
      </c>
      <c r="AH96" s="36">
        <f>(AC94/AI92-SQRT((AC94/AI92)^2-3/(16*PI()^2)))*100</f>
        <v>0.70360164895557631</v>
      </c>
    </row>
    <row r="97" spans="1:36" x14ac:dyDescent="0.3">
      <c r="P97" s="28">
        <f>(-H24/((1-O24)*(1-R24)*K24)+2*J24/((1+R24)*M24))/F119</f>
        <v>0.623076719367468</v>
      </c>
      <c r="S97" s="10"/>
    </row>
    <row r="101" spans="1:36" x14ac:dyDescent="0.3">
      <c r="A101" s="5"/>
      <c r="B101" s="9"/>
      <c r="C101" s="8"/>
      <c r="D101" s="1"/>
      <c r="E101" s="7"/>
      <c r="F101" s="6"/>
      <c r="G101" s="7"/>
      <c r="H101" s="7"/>
      <c r="J101" s="7"/>
      <c r="K101" s="7"/>
      <c r="L101" s="7"/>
      <c r="M101" s="7"/>
      <c r="N101" s="7"/>
      <c r="O101" s="25"/>
      <c r="P101" s="26"/>
      <c r="Q101" s="23"/>
      <c r="R101" s="30"/>
      <c r="S101" s="10"/>
      <c r="T101" s="14"/>
      <c r="U101" s="4"/>
      <c r="V101" s="4"/>
      <c r="W101" s="2"/>
      <c r="X101" s="32"/>
      <c r="AG101" s="6"/>
      <c r="AH101" s="6"/>
      <c r="AI101" s="6"/>
      <c r="AJ101" s="6"/>
    </row>
    <row r="102" spans="1:36" x14ac:dyDescent="0.3">
      <c r="W102" s="23"/>
      <c r="X102" s="23"/>
    </row>
    <row r="103" spans="1:36" x14ac:dyDescent="0.3">
      <c r="W103" s="23"/>
      <c r="X103" s="23"/>
    </row>
    <row r="107" spans="1:36" x14ac:dyDescent="0.3">
      <c r="Y107" s="2"/>
      <c r="Z107" s="2"/>
      <c r="AA107" s="2"/>
      <c r="AB107" s="2"/>
    </row>
    <row r="108" spans="1:36" x14ac:dyDescent="0.3">
      <c r="S108" s="12"/>
      <c r="Y108" s="11"/>
    </row>
    <row r="109" spans="1:36" x14ac:dyDescent="0.3">
      <c r="S109" s="12"/>
      <c r="Z109" s="15"/>
    </row>
    <row r="110" spans="1:36" x14ac:dyDescent="0.3">
      <c r="S110" s="12"/>
      <c r="AA110" s="11"/>
    </row>
    <row r="111" spans="1:36" x14ac:dyDescent="0.3">
      <c r="S111" s="12"/>
      <c r="AB111" s="15"/>
    </row>
    <row r="113" spans="1:27" x14ac:dyDescent="0.3">
      <c r="Q113" s="3"/>
    </row>
    <row r="114" spans="1:27" x14ac:dyDescent="0.3">
      <c r="Q114" s="23"/>
    </row>
    <row r="117" spans="1:27" x14ac:dyDescent="0.3">
      <c r="A117" s="2" t="s">
        <v>25</v>
      </c>
      <c r="B117" s="2" t="s">
        <v>26</v>
      </c>
      <c r="C117" s="2" t="s">
        <v>0</v>
      </c>
      <c r="D117" s="2" t="s">
        <v>1</v>
      </c>
      <c r="E117" s="3" t="s">
        <v>27</v>
      </c>
      <c r="F117" s="3" t="s">
        <v>28</v>
      </c>
      <c r="G117" s="3" t="s">
        <v>29</v>
      </c>
      <c r="H117" s="3" t="s">
        <v>30</v>
      </c>
      <c r="I117" s="3" t="s">
        <v>31</v>
      </c>
      <c r="J117" s="3" t="s">
        <v>32</v>
      </c>
      <c r="K117" s="3" t="s">
        <v>33</v>
      </c>
      <c r="L117" s="3" t="s">
        <v>34</v>
      </c>
      <c r="M117" s="3" t="s">
        <v>35</v>
      </c>
      <c r="N117" s="3" t="s">
        <v>36</v>
      </c>
      <c r="O117" s="3" t="s">
        <v>37</v>
      </c>
      <c r="P117" s="3" t="s">
        <v>2</v>
      </c>
      <c r="Q117" s="3" t="s">
        <v>48</v>
      </c>
      <c r="R117" s="3" t="s">
        <v>38</v>
      </c>
      <c r="S117" s="3" t="s">
        <v>3</v>
      </c>
      <c r="T117" s="3" t="s">
        <v>39</v>
      </c>
      <c r="U117" s="3" t="s">
        <v>63</v>
      </c>
      <c r="V117" s="3" t="s">
        <v>64</v>
      </c>
      <c r="W117" s="3" t="s">
        <v>72</v>
      </c>
      <c r="X117" s="2"/>
      <c r="Y117" s="2"/>
      <c r="Z117" s="2"/>
      <c r="AA117" s="3"/>
    </row>
    <row r="118" spans="1:27" x14ac:dyDescent="0.3">
      <c r="R118" s="30">
        <f>3/4*((T11-3/2*4.59364)/T11)^2*R24</f>
        <v>2.7352972214480262E-4</v>
      </c>
    </row>
    <row r="119" spans="1:27" x14ac:dyDescent="0.3">
      <c r="A119" s="5">
        <f t="shared" ref="A119" si="9">E119/SQRT(3)</f>
        <v>7.6291633571885685E-16</v>
      </c>
      <c r="B119" s="9">
        <v>1.6726219236900001E-27</v>
      </c>
      <c r="C119" s="8">
        <v>6.6260701499999998E-34</v>
      </c>
      <c r="D119" s="1">
        <v>299792458</v>
      </c>
      <c r="E119" s="7">
        <f t="shared" ref="E119" si="10">C119/(B119*D119)</f>
        <v>1.3214098553893345E-15</v>
      </c>
      <c r="F119" s="6">
        <f t="shared" ref="F119" si="11">E119/(4*PI())</f>
        <v>1.051544551677796E-16</v>
      </c>
      <c r="G119" s="7">
        <f t="shared" ref="G119" si="12">A119-E119/2</f>
        <v>1.0221140802418957E-16</v>
      </c>
      <c r="H119" s="7">
        <f t="shared" ref="H119" si="13">PI()^2*A119^2*(G119+4*A119/(3*PI()))+2*PI()*G119^2*A119</f>
        <v>2.497261673838344E-45</v>
      </c>
      <c r="I119">
        <f t="shared" ref="I119" si="14">ACOS(G119/A119)</f>
        <v>1.4364176690331514</v>
      </c>
      <c r="J119" s="7">
        <f t="shared" ref="J119" si="15">4/3*PI()*A119^3*(SIN(I119)^3-3/4*COS(I119)*(2*I119-SIN(2*I119)))</f>
        <v>1.3228761421962124E-45</v>
      </c>
      <c r="K119" s="7">
        <f t="shared" ref="K119" si="16">4*PI()*(A119+G119)^2</f>
        <v>9.4052499841212585E-30</v>
      </c>
      <c r="L119" s="7">
        <f t="shared" ref="L119" si="17">2*PI()^2*A119*(G119+2/PI()*A119)+2*PI()*G119^2</f>
        <v>8.9190275347160963E-30</v>
      </c>
      <c r="M119" s="7">
        <f t="shared" ref="M119" si="18">4*PI()*(E119/2)^2</f>
        <v>5.4856103492552477E-30</v>
      </c>
      <c r="N119" s="7">
        <f t="shared" ref="N119" si="19">4*PI()*A119^2*(SIN(I119)-I119*COS(I119))</f>
        <v>5.8406484816417125E-30</v>
      </c>
      <c r="O119" s="14">
        <f>1-4/9*PI()^5*S119</f>
        <v>7.4962075447779775E-3</v>
      </c>
      <c r="P119" s="25">
        <f>(2*H119/((1-O119)*(1+R119)*K119)-J119/((1-R119)*M119))/F119</f>
        <v>2.7928473791985056</v>
      </c>
      <c r="Q119" s="23">
        <f>(3*H119/(4*PI()))^(1/3)</f>
        <v>8.416376354518146E-16</v>
      </c>
      <c r="R119" s="4">
        <v>2.7353000000000002E-4</v>
      </c>
      <c r="S119" s="12">
        <v>7.2973525693000004E-3</v>
      </c>
      <c r="T119" s="16">
        <f t="shared" ref="T119" si="20">SQRT(2*S119*8.8541878128E-12*6.62607015E-34*299792458)</f>
        <v>1.6021766340024116E-19</v>
      </c>
      <c r="U119" s="4">
        <f t="shared" ref="U119" si="21">Q119*L119/H119</f>
        <v>3.005928182652279</v>
      </c>
      <c r="V119" s="4">
        <f t="shared" ref="V119" si="22">(3*J119/(4*PI()))^(1/3)*N119/J119</f>
        <v>3.0066675465528676</v>
      </c>
      <c r="W119" s="2"/>
      <c r="X119" s="6"/>
      <c r="Y119" s="6"/>
      <c r="Z119" s="6"/>
      <c r="AA119" s="25"/>
    </row>
    <row r="120" spans="1:27" x14ac:dyDescent="0.3">
      <c r="Q120" s="27"/>
    </row>
    <row r="121" spans="1:27" x14ac:dyDescent="0.3">
      <c r="Q121" s="27"/>
      <c r="W121" s="28">
        <f>E145/SQRT(3)</f>
        <v>7.6291633571885685E-16</v>
      </c>
    </row>
    <row r="122" spans="1:27" x14ac:dyDescent="0.3">
      <c r="Q122" s="27"/>
      <c r="W122" s="28">
        <f>E145*SQRT(1/SQRT(3)-1/4)</f>
        <v>7.5603846686289713E-16</v>
      </c>
    </row>
    <row r="124" spans="1:27" x14ac:dyDescent="0.3">
      <c r="Q124" s="23">
        <f>(3*H119/(4*PI()))^(1/3)</f>
        <v>8.416376354518146E-16</v>
      </c>
    </row>
    <row r="132" spans="1:27" x14ac:dyDescent="0.3">
      <c r="U132" s="4">
        <f>Q119*L119/H119</f>
        <v>3.005928182652279</v>
      </c>
    </row>
    <row r="133" spans="1:27" x14ac:dyDescent="0.3">
      <c r="V133" s="4">
        <f>(3*J119/(4*PI()))^(1/3)*N119/J119</f>
        <v>3.0066675465528676</v>
      </c>
      <c r="W133" s="2" t="s">
        <v>49</v>
      </c>
    </row>
    <row r="134" spans="1:27" x14ac:dyDescent="0.3">
      <c r="W134" s="27">
        <f>(3*J119/(4*PI()))^(1/3)</f>
        <v>6.8099437542805372E-16</v>
      </c>
      <c r="X134" s="3" t="s">
        <v>65</v>
      </c>
      <c r="Y134" s="3" t="s">
        <v>66</v>
      </c>
    </row>
    <row r="135" spans="1:27" x14ac:dyDescent="0.3">
      <c r="X135" s="4">
        <f>Z136*L24/H24</f>
        <v>3.0790716262413702</v>
      </c>
      <c r="Y135" s="4">
        <f>AA136*N24/J24</f>
        <v>3.1205477370483581</v>
      </c>
      <c r="Z135" s="2" t="s">
        <v>67</v>
      </c>
      <c r="AA135" s="2" t="s">
        <v>68</v>
      </c>
    </row>
    <row r="136" spans="1:27" x14ac:dyDescent="0.3">
      <c r="Z136" s="4">
        <f>(3*H24/(4*PI()))^(1/3)</f>
        <v>9.0083000058646689E-16</v>
      </c>
      <c r="AA136" s="4">
        <f>(3*J24/(4*PI()))^(1/3)</f>
        <v>3.7856311361468409E-16</v>
      </c>
    </row>
    <row r="139" spans="1:27" x14ac:dyDescent="0.3">
      <c r="Q139" s="2" t="s">
        <v>50</v>
      </c>
    </row>
    <row r="140" spans="1:27" x14ac:dyDescent="0.3">
      <c r="Q140" s="27">
        <f>(3/(4*PI())*H119*((1-O119/3)))^(1/3)</f>
        <v>8.4093604071664053E-16</v>
      </c>
    </row>
    <row r="144" spans="1:27" x14ac:dyDescent="0.3">
      <c r="A144" s="2" t="s">
        <v>25</v>
      </c>
      <c r="B144" s="2" t="s">
        <v>26</v>
      </c>
      <c r="C144" s="2" t="s">
        <v>0</v>
      </c>
      <c r="D144" s="2" t="s">
        <v>1</v>
      </c>
      <c r="E144" s="3" t="s">
        <v>27</v>
      </c>
      <c r="F144" s="3" t="s">
        <v>28</v>
      </c>
      <c r="G144" s="3" t="s">
        <v>29</v>
      </c>
      <c r="H144" s="3" t="s">
        <v>30</v>
      </c>
      <c r="I144" s="3" t="s">
        <v>31</v>
      </c>
      <c r="J144" s="3" t="s">
        <v>32</v>
      </c>
      <c r="K144" s="3" t="s">
        <v>33</v>
      </c>
      <c r="L144" s="3" t="s">
        <v>34</v>
      </c>
      <c r="M144" s="3" t="s">
        <v>35</v>
      </c>
      <c r="N144" s="3" t="s">
        <v>36</v>
      </c>
      <c r="O144" s="3" t="s">
        <v>37</v>
      </c>
      <c r="P144" s="3" t="s">
        <v>2</v>
      </c>
      <c r="Q144" s="3" t="s">
        <v>48</v>
      </c>
      <c r="R144" s="3" t="s">
        <v>38</v>
      </c>
      <c r="S144" s="3" t="s">
        <v>3</v>
      </c>
      <c r="T144" s="3" t="s">
        <v>39</v>
      </c>
      <c r="U144" s="3" t="s">
        <v>63</v>
      </c>
      <c r="V144" s="3" t="s">
        <v>64</v>
      </c>
      <c r="W144" s="3"/>
      <c r="X144" s="2" t="s">
        <v>6</v>
      </c>
      <c r="Y144" s="2" t="s">
        <v>7</v>
      </c>
      <c r="Z144" s="2" t="s">
        <v>1</v>
      </c>
      <c r="AA144" s="3" t="s">
        <v>38</v>
      </c>
    </row>
    <row r="145" spans="1:38" x14ac:dyDescent="0.3">
      <c r="A145" s="5">
        <f t="shared" ref="A145" si="23">E145/SQRT(3)</f>
        <v>7.6291633571885685E-16</v>
      </c>
      <c r="B145" s="9">
        <v>1.6726219236900001E-27</v>
      </c>
      <c r="C145" s="8">
        <v>6.6260701499999998E-34</v>
      </c>
      <c r="D145" s="1">
        <v>299792458</v>
      </c>
      <c r="E145" s="7">
        <f t="shared" ref="E145" si="24">C145/(B145*D145)</f>
        <v>1.3214098553893345E-15</v>
      </c>
      <c r="F145" s="6">
        <f t="shared" ref="F145" si="25">E145/(4*PI())</f>
        <v>1.051544551677796E-16</v>
      </c>
      <c r="G145" s="7">
        <f t="shared" ref="G145" si="26">A145-E145/2</f>
        <v>1.0221140802418957E-16</v>
      </c>
      <c r="H145" s="7">
        <f t="shared" ref="H145" si="27">PI()^2*A145^2*(G145+4*A145/(3*PI()))+2*PI()*G145^2*A145</f>
        <v>2.497261673838344E-45</v>
      </c>
      <c r="I145">
        <f t="shared" ref="I145" si="28">ACOS(G145/A145)</f>
        <v>1.4364176690331514</v>
      </c>
      <c r="J145" s="7">
        <f t="shared" ref="J145" si="29">4/3*PI()*A145^3*(SIN(I145)^3-3/4*COS(I145)*(2*I145-SIN(2*I145)))</f>
        <v>1.3228761421962124E-45</v>
      </c>
      <c r="K145" s="7">
        <f t="shared" ref="K145" si="30">4*PI()*(A145+G145)^2</f>
        <v>9.4052499841212585E-30</v>
      </c>
      <c r="L145" s="7">
        <f t="shared" ref="L145" si="31">2*PI()^2*A145*(G145+2/PI()*A145)+2*PI()*G145^2</f>
        <v>8.9190275347160963E-30</v>
      </c>
      <c r="M145" s="7">
        <f t="shared" ref="M145" si="32">4*PI()*(E145/2)^2</f>
        <v>5.4856103492552477E-30</v>
      </c>
      <c r="N145" s="7">
        <f t="shared" ref="N145" si="33">4*PI()*A145^2*(SIN(I145)-I145*COS(I145))</f>
        <v>5.8406484816417125E-30</v>
      </c>
      <c r="O145" s="14">
        <f>1-4/9*PI()^5*S145</f>
        <v>7.4962075447779775E-3</v>
      </c>
      <c r="P145" s="5">
        <f t="shared" ref="P145" si="34">(2*H145/((1-O145)*(1+R145)*K145)-J145/((1-R145)*M145))/F145</f>
        <v>2.792847344629998</v>
      </c>
      <c r="Q145" s="23">
        <f>(3*H145/(4*PI()))^(1/3)</f>
        <v>8.416376354518146E-16</v>
      </c>
      <c r="R145" s="11">
        <f>AA145</f>
        <v>2.7353468408036243E-4</v>
      </c>
      <c r="S145" s="12">
        <v>7.2973525693000004E-3</v>
      </c>
      <c r="T145" s="16">
        <f t="shared" ref="T145" si="35">SQRT(2*S145*8.8541878128E-12*6.62607015E-34*299792458)</f>
        <v>1.6021766340024116E-19</v>
      </c>
      <c r="U145" s="4">
        <f t="shared" ref="U145" si="36">Q145*L145/H145</f>
        <v>3.005928182652279</v>
      </c>
      <c r="V145" s="4">
        <f t="shared" ref="V145" si="37">(3*J145/(4*PI()))^(1/3)*N145/J145</f>
        <v>3.0066675465528676</v>
      </c>
      <c r="W145" s="2"/>
      <c r="X145" s="6">
        <f>-1*(4-SQRT(3))^2*(1-O145)*E145^3*2.79284734463/4</f>
        <v>-8.2242944073742657E-45</v>
      </c>
      <c r="Y145" s="6">
        <f>(4-SQRT(3))^2*(1-O145)*J145+6*H145</f>
        <v>2.1736900497827075E-44</v>
      </c>
      <c r="Z145" s="6">
        <f>Y145-12*H145-X145</f>
        <v>-5.9451808587900082E-48</v>
      </c>
      <c r="AA145" s="25">
        <f>(-Y145+SQRT(Y145^2-4*X145*Z145))/(2*X145)</f>
        <v>2.7353468408036243E-4</v>
      </c>
    </row>
    <row r="146" spans="1:38" x14ac:dyDescent="0.3">
      <c r="R146" s="3" t="s">
        <v>9</v>
      </c>
    </row>
    <row r="147" spans="1:38" x14ac:dyDescent="0.3">
      <c r="R147" s="11">
        <f>4/3*((T11)/(T11-3/2*4.59899055))^2*R145</f>
        <v>3.7012807470135134E-4</v>
      </c>
    </row>
    <row r="148" spans="1:38" x14ac:dyDescent="0.3">
      <c r="A148" s="2" t="s">
        <v>13</v>
      </c>
      <c r="B148" s="2" t="s">
        <v>14</v>
      </c>
      <c r="C148" s="2" t="s">
        <v>0</v>
      </c>
      <c r="D148" s="2" t="s">
        <v>1</v>
      </c>
      <c r="E148" s="3" t="s">
        <v>11</v>
      </c>
      <c r="F148" s="3" t="s">
        <v>15</v>
      </c>
      <c r="G148" s="3" t="s">
        <v>16</v>
      </c>
      <c r="H148" s="3" t="s">
        <v>17</v>
      </c>
      <c r="I148" s="3" t="s">
        <v>18</v>
      </c>
      <c r="J148" s="3" t="s">
        <v>19</v>
      </c>
      <c r="K148" s="3" t="s">
        <v>21</v>
      </c>
      <c r="L148" s="3" t="s">
        <v>20</v>
      </c>
      <c r="M148" s="3" t="s">
        <v>22</v>
      </c>
      <c r="N148" s="3" t="s">
        <v>23</v>
      </c>
      <c r="O148" s="3" t="s">
        <v>10</v>
      </c>
      <c r="P148" s="3" t="s">
        <v>4</v>
      </c>
      <c r="Q148" s="3" t="s">
        <v>5</v>
      </c>
      <c r="R148" s="10">
        <f>4/3*((T11)/(T11-3/2*4.59364))^2*R145</f>
        <v>3.7012170470001173E-4</v>
      </c>
      <c r="U148" s="3" t="s">
        <v>65</v>
      </c>
      <c r="V148" s="3" t="s">
        <v>66</v>
      </c>
      <c r="W148" s="3" t="s">
        <v>24</v>
      </c>
    </row>
    <row r="149" spans="1:38" x14ac:dyDescent="0.3">
      <c r="A149" s="16">
        <f>E149/2</f>
        <v>6.5979545290486651E-16</v>
      </c>
      <c r="B149" s="17">
        <v>1.67492749804E-27</v>
      </c>
      <c r="C149" s="8">
        <v>6.6260701499999998E-34</v>
      </c>
      <c r="D149" s="1">
        <v>299792458</v>
      </c>
      <c r="E149" s="7">
        <f t="shared" ref="E149" si="38">C149/(B149*D149)</f>
        <v>1.319590905809733E-15</v>
      </c>
      <c r="F149" s="6">
        <f t="shared" ref="F149" si="39">E149/(4*PI())</f>
        <v>1.0500970775936534E-16</v>
      </c>
      <c r="G149" s="7">
        <f>E149/4</f>
        <v>3.2989772645243326E-16</v>
      </c>
      <c r="H149" s="7">
        <f>4/3*PI()*A149^3*(SIN(W149)^3-3/4*COS(W149)*(2*W149-SIN(2*W149)))</f>
        <v>3.0620842299043777E-45</v>
      </c>
      <c r="I149">
        <f t="shared" ref="I149" si="40">ACOS(G149/A149)</f>
        <v>1.0471975511965976</v>
      </c>
      <c r="J149" s="7">
        <f t="shared" ref="J149" si="41">4/3*PI()*A149^3*(SIN(I149)^3-3/4*COS(I149)*(2*I149-SIN(2*I149)))</f>
        <v>2.2724979188919757E-46</v>
      </c>
      <c r="K149" s="7">
        <f t="shared" ref="K149" si="42">4*PI()*(A149+G149)^2</f>
        <v>1.2308666890739369E-29</v>
      </c>
      <c r="L149" s="7">
        <f>4*PI()*A149^2*(SIN(W149)-W149*COS(W149))</f>
        <v>1.0466321795812278E-29</v>
      </c>
      <c r="M149" s="7">
        <f t="shared" ref="M149" si="43">4*PI()*(E149/4)^2</f>
        <v>1.3676296545265966E-30</v>
      </c>
      <c r="N149" s="7">
        <f>4*PI()*A149^2*(SIN(I149)-I149*COS(I149))</f>
        <v>1.8732512448276702E-30</v>
      </c>
      <c r="O149" s="6">
        <f>1-2*PI()^2*A149*(G149+2*A149/PI())/L149</f>
        <v>6.6811236636482585E-2</v>
      </c>
      <c r="P149" s="18">
        <f>(-2*H149/((1-O149)*(1-R149)*K149)+2*J149/((1+R149)*M149))/F119</f>
        <v>-1.913042837709634</v>
      </c>
      <c r="Q149" s="4">
        <f t="shared" ref="Q149" si="44">(3*H149/(4*PI()))^(1/3)</f>
        <v>9.0083000058646689E-16</v>
      </c>
      <c r="R149" s="11">
        <f>R147</f>
        <v>3.7012807470135134E-4</v>
      </c>
      <c r="S149" s="11"/>
      <c r="U149" s="4">
        <f t="shared" ref="U149:U150" si="45">Q149*L149/H149</f>
        <v>3.0790716262413702</v>
      </c>
      <c r="V149" s="4">
        <f t="shared" ref="V149:V150" si="46">(3*J149/(4*PI()))^(1/3)*N149/J149</f>
        <v>3.1205477370483581</v>
      </c>
      <c r="W149">
        <f>PI()-I149</f>
        <v>2.0943951023931957</v>
      </c>
      <c r="X149" s="6"/>
      <c r="Y149" s="6"/>
      <c r="Z149" s="6"/>
      <c r="AA149" s="26"/>
      <c r="AB149" s="28"/>
      <c r="AL149" s="7"/>
    </row>
    <row r="150" spans="1:38" x14ac:dyDescent="0.3">
      <c r="A150" s="16">
        <f>E150/2</f>
        <v>6.5979545290486651E-16</v>
      </c>
      <c r="B150" s="17">
        <v>1.67492749804E-27</v>
      </c>
      <c r="C150" s="8">
        <v>6.6260701499999998E-34</v>
      </c>
      <c r="D150" s="1">
        <v>299792458</v>
      </c>
      <c r="E150" s="7">
        <f t="shared" ref="E150" si="47">C150/(B150*D150)</f>
        <v>1.319590905809733E-15</v>
      </c>
      <c r="F150" s="6">
        <f t="shared" ref="F150" si="48">E150/(4*PI())</f>
        <v>1.0500970775936534E-16</v>
      </c>
      <c r="G150" s="7">
        <f>E150/4</f>
        <v>3.2989772645243326E-16</v>
      </c>
      <c r="H150" s="7">
        <f>4/3*PI()*A150^3*(SIN(W150)^3-3/4*COS(W150)*(2*W150-SIN(2*W150)))</f>
        <v>3.0620842299043777E-45</v>
      </c>
      <c r="I150">
        <f t="shared" ref="I150" si="49">ACOS(G150/A150)</f>
        <v>1.0471975511965976</v>
      </c>
      <c r="J150" s="7">
        <f t="shared" ref="J150" si="50">4/3*PI()*A150^3*(SIN(I150)^3-3/4*COS(I150)*(2*I150-SIN(2*I150)))</f>
        <v>2.2724979188919757E-46</v>
      </c>
      <c r="K150" s="7">
        <f t="shared" ref="K150" si="51">4*PI()*(A150+G150)^2</f>
        <v>1.2308666890739369E-29</v>
      </c>
      <c r="L150" s="7">
        <f>4*PI()*A150^2*(SIN(W150)-W150*COS(W150))</f>
        <v>1.0466321795812278E-29</v>
      </c>
      <c r="M150" s="7">
        <f t="shared" ref="M150" si="52">4*PI()*(E150/4)^2</f>
        <v>1.3676296545265966E-30</v>
      </c>
      <c r="N150" s="7">
        <f>4*PI()*A150^2*(SIN(I150)-I150*COS(I150))</f>
        <v>1.8732512448276702E-30</v>
      </c>
      <c r="O150" s="6">
        <f>1-2*PI()^2*A150*(G150+2*A150/PI())/L150</f>
        <v>6.6811236636482585E-2</v>
      </c>
      <c r="P150" s="16">
        <f>(-2*H150/((1-O150)*(1-R150)*K150)+2*J150/((1+R150)*M150))/F119</f>
        <v>-1.9130427852708638</v>
      </c>
      <c r="Q150" s="4">
        <f t="shared" ref="Q150" si="53">(3*H150/(4*PI()))^(1/3)</f>
        <v>9.0083000058646689E-16</v>
      </c>
      <c r="R150" s="10">
        <f>R148</f>
        <v>3.7012170470001173E-4</v>
      </c>
      <c r="S150" s="11"/>
      <c r="U150" s="4">
        <f t="shared" si="45"/>
        <v>3.0790716262413702</v>
      </c>
      <c r="V150" s="4">
        <f t="shared" si="46"/>
        <v>3.1205477370483581</v>
      </c>
      <c r="W150">
        <f>PI()-I150</f>
        <v>2.0943951023931957</v>
      </c>
      <c r="X150" s="3" t="s">
        <v>71</v>
      </c>
      <c r="Y150" s="6"/>
      <c r="Z150" s="6"/>
      <c r="AA150" s="26"/>
      <c r="AB150" s="28"/>
      <c r="AL150" s="7"/>
    </row>
    <row r="151" spans="1:38" x14ac:dyDescent="0.3">
      <c r="X151" s="34">
        <f>T11*(1-SQRT((4*R145)/(3*R24)))</f>
        <v>6.8820004950723712</v>
      </c>
    </row>
    <row r="154" spans="1:38" x14ac:dyDescent="0.3">
      <c r="Q154" s="2"/>
    </row>
    <row r="155" spans="1:38" x14ac:dyDescent="0.3">
      <c r="Q155" s="27"/>
    </row>
    <row r="156" spans="1:38" x14ac:dyDescent="0.3">
      <c r="A156" s="2"/>
      <c r="B156" s="2"/>
      <c r="C156" s="2"/>
      <c r="D156" s="2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</row>
    <row r="157" spans="1:38" x14ac:dyDescent="0.3">
      <c r="A157" s="2"/>
      <c r="B157" s="2"/>
      <c r="C157" s="2"/>
      <c r="D157" s="2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14"/>
      <c r="P157" s="3"/>
      <c r="Q157" s="3"/>
      <c r="R157" s="3"/>
      <c r="S157" s="12"/>
      <c r="T157" s="3"/>
      <c r="U157" s="3"/>
      <c r="V157" s="3"/>
      <c r="AG157" s="2"/>
      <c r="AH157" s="2"/>
      <c r="AI157" s="2"/>
      <c r="AJ157" s="3"/>
    </row>
    <row r="158" spans="1:38" x14ac:dyDescent="0.3">
      <c r="A158" s="5"/>
      <c r="B158" s="9"/>
      <c r="C158" s="8"/>
      <c r="D158" s="1"/>
      <c r="E158" s="7"/>
      <c r="F158" s="6"/>
      <c r="G158" s="7"/>
      <c r="H158" s="7"/>
      <c r="J158" s="7"/>
      <c r="K158" s="7"/>
      <c r="L158" s="7"/>
      <c r="M158" s="7"/>
      <c r="N158" s="7"/>
      <c r="O158" s="14"/>
      <c r="P158" s="23"/>
      <c r="Q158" s="23"/>
      <c r="R158" s="30"/>
      <c r="S158" s="12"/>
      <c r="T158" s="16"/>
      <c r="U158" s="4"/>
      <c r="V158" s="4"/>
      <c r="W158" s="2"/>
      <c r="X158" s="32"/>
      <c r="AG158" s="6"/>
      <c r="AH158" s="6"/>
      <c r="AI158" s="6"/>
      <c r="AJ158" s="25"/>
    </row>
    <row r="162" spans="1:38" x14ac:dyDescent="0.3">
      <c r="A162" s="2"/>
      <c r="B162" s="2"/>
      <c r="C162" s="2"/>
      <c r="D162" s="2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2"/>
      <c r="Y162" s="2"/>
      <c r="Z162" s="2"/>
      <c r="AA162" s="3"/>
    </row>
    <row r="163" spans="1:38" x14ac:dyDescent="0.3">
      <c r="A163" s="5"/>
      <c r="B163" s="9"/>
      <c r="C163" s="8"/>
      <c r="D163" s="1"/>
      <c r="E163" s="7"/>
      <c r="F163" s="6"/>
      <c r="G163" s="7"/>
      <c r="H163" s="7"/>
      <c r="J163" s="7"/>
      <c r="K163" s="7"/>
      <c r="L163" s="7"/>
      <c r="M163" s="7"/>
      <c r="N163" s="7"/>
      <c r="O163" s="14"/>
      <c r="P163" s="5"/>
      <c r="Q163" s="23"/>
      <c r="R163" s="11"/>
      <c r="S163" s="12"/>
      <c r="T163" s="16"/>
      <c r="U163" s="4"/>
      <c r="V163" s="4"/>
      <c r="W163" s="2"/>
      <c r="X163" s="6"/>
      <c r="Y163" s="6"/>
      <c r="Z163" s="6"/>
      <c r="AA163" s="25"/>
    </row>
    <row r="164" spans="1:38" x14ac:dyDescent="0.3">
      <c r="A164" s="2"/>
      <c r="B164" s="2"/>
      <c r="C164" s="2"/>
      <c r="D164" s="2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</row>
    <row r="165" spans="1:38" x14ac:dyDescent="0.3">
      <c r="A165" s="16"/>
      <c r="B165" s="17"/>
      <c r="C165" s="8"/>
      <c r="D165" s="1"/>
      <c r="E165" s="7"/>
      <c r="F165" s="6"/>
      <c r="G165" s="7"/>
      <c r="H165" s="7"/>
      <c r="J165" s="7"/>
      <c r="K165" s="7"/>
      <c r="L165" s="7"/>
      <c r="M165" s="7"/>
      <c r="N165" s="7"/>
      <c r="O165" s="6"/>
      <c r="P165" s="14"/>
      <c r="Q165" s="16"/>
      <c r="R165" s="11"/>
      <c r="S165" s="20"/>
      <c r="U165" s="4"/>
      <c r="V165" s="4"/>
    </row>
    <row r="166" spans="1:38" x14ac:dyDescent="0.3">
      <c r="A166" s="16"/>
      <c r="B166" s="17"/>
      <c r="C166" s="8"/>
      <c r="D166" s="1"/>
      <c r="E166" s="7"/>
      <c r="F166" s="6"/>
      <c r="G166" s="7"/>
      <c r="H166" s="7"/>
      <c r="J166" s="7"/>
      <c r="K166" s="7"/>
      <c r="L166" s="7"/>
      <c r="M166" s="7"/>
      <c r="N166" s="7"/>
      <c r="O166" s="6"/>
      <c r="P166" s="28"/>
      <c r="Q166" s="16"/>
      <c r="R166" s="20"/>
      <c r="S166" s="11"/>
      <c r="U166" s="4"/>
      <c r="V166" s="4"/>
      <c r="AG166" s="6"/>
      <c r="AH166" s="6"/>
      <c r="AI166" s="6"/>
      <c r="AJ166" s="6"/>
      <c r="AK166" s="6"/>
      <c r="AL166" s="7"/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Wisconsin-La Crosse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 Verrall</dc:creator>
  <cp:lastModifiedBy>Steven Verrall</cp:lastModifiedBy>
  <dcterms:created xsi:type="dcterms:W3CDTF">2021-12-14T18:41:02Z</dcterms:created>
  <dcterms:modified xsi:type="dcterms:W3CDTF">2024-05-04T14:25:41Z</dcterms:modified>
</cp:coreProperties>
</file>