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3.xml" ContentType="application/vnd.openxmlformats-officedocument.drawing+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codeName="ThisWorkbook" defaultThemeVersion="166925"/>
  <mc:AlternateContent xmlns:mc="http://schemas.openxmlformats.org/markup-compatibility/2006">
    <mc:Choice Requires="x15">
      <x15ac:absPath xmlns:x15ac="http://schemas.microsoft.com/office/spreadsheetml/2010/11/ac" url="C:\Users\choje\OneDrive\Documents\"/>
    </mc:Choice>
  </mc:AlternateContent>
  <xr:revisionPtr revIDLastSave="0" documentId="8_{ABFFC073-DE27-42B0-8098-5EF7E0CA4DA3}" xr6:coauthVersionLast="47" xr6:coauthVersionMax="47" xr10:uidLastSave="{00000000-0000-0000-0000-000000000000}"/>
  <workbookProtection workbookAlgorithmName="SHA-512" workbookHashValue="sTXkUec+uSwouhZANPggECv+AuxbmrzQltLk+UnUFyYPNsDkMmR2BYhdfLg2x1UVcQu3ZwVXrCRlmMNlfIkD8w==" workbookSaltValue="Kiifd7Wb84tUvheGfzGgPQ==" workbookSpinCount="100000" lockStructure="1"/>
  <bookViews>
    <workbookView xWindow="-108" yWindow="-108" windowWidth="23256" windowHeight="12576" firstSheet="1" activeTab="1" xr2:uid="{EAF94599-01F4-48DA-B3F4-03F179B19461}"/>
  </bookViews>
  <sheets>
    <sheet name="Instructions" sheetId="3" r:id="rId1"/>
    <sheet name="Cost calculator" sheetId="81" r:id="rId2"/>
    <sheet name="Results" sheetId="83" r:id="rId3"/>
    <sheet name="Additional NIHB costs" sheetId="85" r:id="rId4"/>
    <sheet name="List" sheetId="4" state="hidden" r:id="rId5"/>
    <sheet name="Model default 2" sheetId="93" state="hidden" r:id="rId6"/>
    <sheet name="Model default" sheetId="91" state="hidden" r:id="rId7"/>
    <sheet name="NIHB cost" sheetId="84" state="hidden" r:id="rId8"/>
  </sheets>
  <definedNames>
    <definedName name="d_c_carer">'Model default 2'!$F$29:$F$33</definedName>
    <definedName name="d_c_comp">'Model default'!$F$47:$H$53</definedName>
    <definedName name="d_c_hosp">'Model default'!$G$105</definedName>
    <definedName name="d_c_medvac">'Model default 2'!$F$11:$G$12</definedName>
    <definedName name="d_c_oral">'Model default'!$F$57</definedName>
    <definedName name="d_c_round">'Model default 2'!$G$12</definedName>
    <definedName name="d_c_xyd">'Model default'!$F$34</definedName>
    <definedName name="d_catheter_cost">'Model default'!$H$79:$H$81</definedName>
    <definedName name="d_catheter_uti">'Model default'!$G$79:$G$80</definedName>
    <definedName name="d_custom">'Model default'!$G$21:$G$27</definedName>
    <definedName name="d_l_antib">'Model default'!$F$44</definedName>
    <definedName name="d_LoT">'Model default'!$J$47:$J$53</definedName>
    <definedName name="d_minutes">'Model default'!$F$130:$I$136</definedName>
    <definedName name="d_monitoring">'Model default'!$F$174:$I$182</definedName>
    <definedName name="d_n">'Model default'!$F$193</definedName>
    <definedName name="d_n2">'Model default 2'!$F$49</definedName>
    <definedName name="d_out_nurse">'Model default'!$G$159:$G$165</definedName>
    <definedName name="d_p_carer">'Model default 2'!$F$25</definedName>
    <definedName name="d_p_inpat_cath">'Model default'!$G$85</definedName>
    <definedName name="d_rates">'Model default'!$F$122:$F$124</definedName>
    <definedName name="d_transport">'Model default 2'!$F$16:$F$22</definedName>
    <definedName name="d_u_carer">'Model default 2'!$F$36:$G$42</definedName>
    <definedName name="d_u_carer2">'Model default 2'!$I$36:$I$42</definedName>
    <definedName name="r_c_carer">'Additional NIHB costs'!$F$29:$F$33</definedName>
    <definedName name="r_c_comp">'Cost calculator'!$F$47:$H$53</definedName>
    <definedName name="r_c_hosp">'Cost calculator'!$G$105</definedName>
    <definedName name="r_c_medvac">'Additional NIHB costs'!$F$11:$G$12</definedName>
    <definedName name="r_c_oral">'Cost calculator'!$F$57:$F$57</definedName>
    <definedName name="r_c_xyd">'Cost calculator'!$F$34</definedName>
    <definedName name="r_catheter_cost">'Cost calculator'!$H$79:$H$81</definedName>
    <definedName name="r_catheter_uti">'Cost calculator'!$G$79:$G$80</definedName>
    <definedName name="r_custom">'Cost calculator'!$G$21:$G$27</definedName>
    <definedName name="r_l_antib">'Cost calculator'!$F$44</definedName>
    <definedName name="r_LoT">'Cost calculator'!$J$47:$J$53</definedName>
    <definedName name="r_minutes">'Cost calculator'!$F$131:$I$137</definedName>
    <definedName name="r_monitoring">'Cost calculator'!$F$175:$I$183</definedName>
    <definedName name="r_n">Results!$F$11</definedName>
    <definedName name="r_n2">'Additional NIHB costs'!$F$49</definedName>
    <definedName name="r_out_nurse">'Cost calculator'!$G$160:$G$166</definedName>
    <definedName name="r_p_carer">'Additional NIHB costs'!$F$25</definedName>
    <definedName name="r_p_inpat_cath">'Cost calculator'!$G$85</definedName>
    <definedName name="r_rates">'Cost calculator'!$F$123:$F$125</definedName>
    <definedName name="r_transport">'Additional NIHB costs'!$F$16:$F$22</definedName>
    <definedName name="r_u_carer">'Additional NIHB costs'!$F$36:$G$42</definedName>
    <definedName name="r_u_carer2">'Additional NIHB costs'!$I$36:$I$42</definedName>
    <definedName name="setting_LoSopt">List!$B$15</definedName>
    <definedName name="setting_Vanco_dose">List!$B$23</definedName>
    <definedName name="setting_Xyd_dose">List!$G$5</definedName>
    <definedName name="YesNo">List!$G$20:$G$21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81" l="1"/>
  <c r="F15" i="81"/>
  <c r="F183" i="81"/>
  <c r="G183" i="81"/>
  <c r="H183" i="81"/>
  <c r="I183" i="81"/>
  <c r="G160" i="81"/>
  <c r="G161" i="81"/>
  <c r="G162" i="81"/>
  <c r="G163" i="81"/>
  <c r="G164" i="81"/>
  <c r="G165" i="81"/>
  <c r="G132" i="81"/>
  <c r="H132" i="81"/>
  <c r="I132" i="81"/>
  <c r="G133" i="81"/>
  <c r="H133" i="81"/>
  <c r="I133" i="81"/>
  <c r="G134" i="81"/>
  <c r="H134" i="81"/>
  <c r="G135" i="81"/>
  <c r="H135" i="81"/>
  <c r="I135" i="81"/>
  <c r="G136" i="81"/>
  <c r="H136" i="81"/>
  <c r="I136" i="81"/>
  <c r="F123" i="81"/>
  <c r="F124" i="81"/>
  <c r="F125" i="81"/>
  <c r="G105" i="81"/>
  <c r="H79" i="81"/>
  <c r="F57" i="81"/>
  <c r="H48" i="81"/>
  <c r="G49" i="81"/>
  <c r="H49" i="81"/>
  <c r="H50" i="81"/>
  <c r="F34" i="81"/>
  <c r="I182" i="91"/>
  <c r="H182" i="91"/>
  <c r="G182" i="91"/>
  <c r="F182" i="91"/>
  <c r="F124" i="91"/>
  <c r="F123" i="91"/>
  <c r="F122" i="91"/>
  <c r="G105" i="91"/>
  <c r="H79" i="91"/>
  <c r="F57" i="91"/>
  <c r="H50" i="91"/>
  <c r="H49" i="91"/>
  <c r="K176" i="81" l="1"/>
  <c r="G12" i="93"/>
  <c r="J42" i="85"/>
  <c r="J36" i="85"/>
  <c r="G16" i="85"/>
  <c r="G22" i="85"/>
  <c r="G32" i="85"/>
  <c r="G33" i="85" s="1"/>
  <c r="H156" i="81"/>
  <c r="G156" i="81"/>
  <c r="E104" i="4" l="1"/>
  <c r="F104" i="4" s="1"/>
  <c r="E105" i="4"/>
  <c r="F105" i="4" s="1"/>
  <c r="E103" i="4"/>
  <c r="F103" i="4" s="1"/>
  <c r="E102" i="4"/>
  <c r="F102" i="4" s="1"/>
  <c r="E101" i="4"/>
  <c r="F101" i="4" s="1"/>
  <c r="B106" i="4"/>
  <c r="E100" i="4"/>
  <c r="F100" i="4" s="1"/>
  <c r="F106" i="4" l="1"/>
  <c r="I69" i="85" l="1"/>
  <c r="E42" i="93"/>
  <c r="F42" i="93"/>
  <c r="E42" i="85"/>
  <c r="M79" i="85"/>
  <c r="L79" i="85"/>
  <c r="E20" i="83"/>
  <c r="E30" i="83" s="1"/>
  <c r="E40" i="83" s="1"/>
  <c r="E180" i="91"/>
  <c r="E136" i="91"/>
  <c r="E147" i="91" s="1"/>
  <c r="E165" i="91" s="1"/>
  <c r="E181" i="81"/>
  <c r="H166" i="81"/>
  <c r="E148" i="81"/>
  <c r="E166" i="81" s="1"/>
  <c r="E98" i="81"/>
  <c r="E115" i="81"/>
  <c r="D94" i="4"/>
  <c r="I51" i="81"/>
  <c r="F94" i="4"/>
  <c r="E94" i="4"/>
  <c r="E26" i="81"/>
  <c r="G13" i="85"/>
  <c r="G18" i="85" l="1"/>
  <c r="G19" i="85"/>
  <c r="G20" i="85"/>
  <c r="G21" i="85"/>
  <c r="G17" i="85"/>
  <c r="E59" i="85"/>
  <c r="E69" i="85" s="1"/>
  <c r="E79" i="85" s="1"/>
  <c r="F27" i="81"/>
  <c r="H27" i="81" s="1"/>
  <c r="L181" i="81" s="1"/>
  <c r="H160" i="81"/>
  <c r="H161" i="81"/>
  <c r="I53" i="81"/>
  <c r="H14" i="83"/>
  <c r="F31" i="93"/>
  <c r="F32" i="93"/>
  <c r="F33" i="93"/>
  <c r="F36" i="93"/>
  <c r="F37" i="93"/>
  <c r="F38" i="93"/>
  <c r="F39" i="93"/>
  <c r="F40" i="93"/>
  <c r="F41" i="93"/>
  <c r="E41" i="93"/>
  <c r="E40" i="93"/>
  <c r="E39" i="93"/>
  <c r="E38" i="93"/>
  <c r="E37" i="93"/>
  <c r="E36" i="93"/>
  <c r="K51" i="81" l="1"/>
  <c r="I166" i="81" s="1"/>
  <c r="J166" i="81" s="1"/>
  <c r="J30" i="83" s="1"/>
  <c r="J69" i="85" s="1"/>
  <c r="F115" i="81"/>
  <c r="G115" i="81" l="1"/>
  <c r="H42" i="85"/>
  <c r="F65" i="81"/>
  <c r="H65" i="81" s="1" a="1"/>
  <c r="H65" i="81" s="1"/>
  <c r="G20" i="83" s="1"/>
  <c r="H148" i="81"/>
  <c r="F148" i="81"/>
  <c r="G148" i="81"/>
  <c r="M51" i="81"/>
  <c r="F30" i="83" s="1"/>
  <c r="G65" i="81"/>
  <c r="I65" i="81" s="1" a="1"/>
  <c r="I65" i="81" s="1"/>
  <c r="L51" i="81"/>
  <c r="F20" i="83" s="1"/>
  <c r="I64" i="85"/>
  <c r="I65" i="85"/>
  <c r="I66" i="85"/>
  <c r="I67" i="85"/>
  <c r="I68" i="85"/>
  <c r="I63" i="85"/>
  <c r="G63" i="85"/>
  <c r="G53" i="85"/>
  <c r="H163" i="81"/>
  <c r="H165" i="81"/>
  <c r="G164" i="91"/>
  <c r="G162" i="91"/>
  <c r="G161" i="91"/>
  <c r="G160" i="91"/>
  <c r="G159" i="91"/>
  <c r="I135" i="91"/>
  <c r="H135" i="91"/>
  <c r="G135" i="91"/>
  <c r="G134" i="91"/>
  <c r="H133" i="91"/>
  <c r="G133" i="91"/>
  <c r="I132" i="91"/>
  <c r="H132" i="91"/>
  <c r="G132" i="91"/>
  <c r="I131" i="91"/>
  <c r="H131" i="91"/>
  <c r="G131" i="91"/>
  <c r="E130" i="91"/>
  <c r="E174" i="91" s="1"/>
  <c r="G123" i="91"/>
  <c r="E109" i="91"/>
  <c r="E92" i="91"/>
  <c r="G81" i="91"/>
  <c r="G49" i="91"/>
  <c r="H134" i="91" s="1"/>
  <c r="H48" i="91"/>
  <c r="F34" i="91"/>
  <c r="E26" i="91"/>
  <c r="E25" i="91"/>
  <c r="E113" i="91" s="1"/>
  <c r="E24" i="91"/>
  <c r="E133" i="91" s="1"/>
  <c r="E23" i="91"/>
  <c r="E94" i="91" s="1"/>
  <c r="E22" i="91"/>
  <c r="E131" i="91" s="1"/>
  <c r="E175" i="91" s="1"/>
  <c r="F16" i="91"/>
  <c r="E115" i="91" s="1"/>
  <c r="F15" i="91"/>
  <c r="H162" i="81"/>
  <c r="F69" i="85" l="1"/>
  <c r="N40" i="83"/>
  <c r="N30" i="83"/>
  <c r="N69" i="85" s="1"/>
  <c r="G30" i="83"/>
  <c r="G69" i="85" s="1"/>
  <c r="G59" i="85"/>
  <c r="H20" i="83"/>
  <c r="F59" i="85"/>
  <c r="N20" i="83"/>
  <c r="N59" i="85" s="1"/>
  <c r="I20" i="83"/>
  <c r="I59" i="85" s="1"/>
  <c r="I79" i="85" s="1"/>
  <c r="F40" i="83"/>
  <c r="N51" i="81"/>
  <c r="I148" i="81"/>
  <c r="J20" i="83" s="1"/>
  <c r="J65" i="81"/>
  <c r="E135" i="91"/>
  <c r="E114" i="91"/>
  <c r="E97" i="91"/>
  <c r="G82" i="91"/>
  <c r="G163" i="91"/>
  <c r="E112" i="91"/>
  <c r="I134" i="91"/>
  <c r="E95" i="91"/>
  <c r="E141" i="91"/>
  <c r="E159" i="91" s="1"/>
  <c r="G73" i="85"/>
  <c r="E142" i="91"/>
  <c r="E160" i="91" s="1"/>
  <c r="E110" i="91"/>
  <c r="E93" i="91"/>
  <c r="E144" i="91"/>
  <c r="E162" i="91" s="1"/>
  <c r="E177" i="91"/>
  <c r="E179" i="91"/>
  <c r="E146" i="91"/>
  <c r="E164" i="91" s="1"/>
  <c r="E96" i="91"/>
  <c r="E111" i="91"/>
  <c r="E134" i="91"/>
  <c r="E132" i="91"/>
  <c r="F79" i="85" l="1"/>
  <c r="P79" i="85" s="1"/>
  <c r="G79" i="85"/>
  <c r="G40" i="83"/>
  <c r="I40" i="83"/>
  <c r="H59" i="85"/>
  <c r="J40" i="83"/>
  <c r="J59" i="85"/>
  <c r="J79" i="85" s="1"/>
  <c r="E178" i="91"/>
  <c r="E145" i="91"/>
  <c r="E163" i="91" s="1"/>
  <c r="E143" i="91"/>
  <c r="E161" i="91" s="1"/>
  <c r="E176" i="91"/>
  <c r="H24" i="83"/>
  <c r="E90" i="4"/>
  <c r="E91" i="4"/>
  <c r="E92" i="4"/>
  <c r="E93" i="4"/>
  <c r="E89" i="4"/>
  <c r="H26" i="81" l="1"/>
  <c r="F26" i="81"/>
  <c r="H53" i="85"/>
  <c r="H63" i="85"/>
  <c r="G34" i="83"/>
  <c r="H73" i="85" l="1"/>
  <c r="H164" i="81"/>
  <c r="E41" i="85"/>
  <c r="E40" i="85"/>
  <c r="E39" i="85"/>
  <c r="E38" i="85"/>
  <c r="E37" i="85"/>
  <c r="E36" i="85"/>
  <c r="L73" i="85"/>
  <c r="L78" i="85"/>
  <c r="L75" i="85" l="1"/>
  <c r="L76" i="85"/>
  <c r="L77" i="85"/>
  <c r="L74" i="85"/>
  <c r="C37" i="84"/>
  <c r="E109" i="81"/>
  <c r="H34" i="83" l="1"/>
  <c r="E14" i="83"/>
  <c r="G81" i="81"/>
  <c r="H82" i="81" s="1"/>
  <c r="G88" i="81" s="1"/>
  <c r="H30" i="83" s="1"/>
  <c r="H69" i="85" l="1"/>
  <c r="H79" i="85" s="1"/>
  <c r="H40" i="83"/>
  <c r="E24" i="83"/>
  <c r="E34" i="83" s="1"/>
  <c r="E53" i="85"/>
  <c r="E63" i="85" s="1"/>
  <c r="E73" i="85" s="1"/>
  <c r="G87" i="81"/>
  <c r="H15" i="83" s="1"/>
  <c r="H25" i="83" l="1"/>
  <c r="H28" i="83"/>
  <c r="H27" i="83"/>
  <c r="H29" i="83"/>
  <c r="H26" i="83"/>
  <c r="H19" i="83"/>
  <c r="H18" i="83"/>
  <c r="H16" i="83"/>
  <c r="H17" i="83"/>
  <c r="E92" i="81"/>
  <c r="F10" i="4" s="1"/>
  <c r="F16" i="81"/>
  <c r="E116" i="81" s="1"/>
  <c r="H66" i="85" l="1"/>
  <c r="H57" i="85"/>
  <c r="H65" i="85"/>
  <c r="H67" i="85"/>
  <c r="H54" i="85"/>
  <c r="H58" i="85"/>
  <c r="H68" i="85"/>
  <c r="H56" i="85"/>
  <c r="H55" i="85"/>
  <c r="H64" i="85"/>
  <c r="H21" i="81"/>
  <c r="F41" i="81" s="1"/>
  <c r="A88" i="4"/>
  <c r="D89" i="4"/>
  <c r="F89" i="4"/>
  <c r="F90" i="4"/>
  <c r="F91" i="4"/>
  <c r="F92" i="4"/>
  <c r="F93" i="4"/>
  <c r="J10" i="81"/>
  <c r="H76" i="85" l="1"/>
  <c r="I160" i="81"/>
  <c r="J160" i="81" s="1"/>
  <c r="J24" i="83" s="1"/>
  <c r="H77" i="85"/>
  <c r="H74" i="85"/>
  <c r="H78" i="85"/>
  <c r="F142" i="81"/>
  <c r="G142" i="81"/>
  <c r="H75" i="85"/>
  <c r="F22" i="81"/>
  <c r="L175" i="81"/>
  <c r="H142" i="81"/>
  <c r="G41" i="81"/>
  <c r="G42" i="81" s="1"/>
  <c r="E19" i="83"/>
  <c r="E114" i="81"/>
  <c r="A93" i="4"/>
  <c r="E97" i="81"/>
  <c r="F15" i="4" s="1"/>
  <c r="J11" i="81"/>
  <c r="B14" i="4"/>
  <c r="B13" i="4"/>
  <c r="B12" i="4"/>
  <c r="B11" i="4"/>
  <c r="B16" i="4" s="1"/>
  <c r="C36" i="4"/>
  <c r="D34" i="4"/>
  <c r="D35" i="4" s="1"/>
  <c r="D36" i="4" s="1"/>
  <c r="D37" i="4" s="1"/>
  <c r="C35" i="4"/>
  <c r="K181" i="81" s="1"/>
  <c r="N181" i="81" s="1"/>
  <c r="K20" i="83" s="1"/>
  <c r="E131" i="81"/>
  <c r="G124" i="81"/>
  <c r="E24" i="81"/>
  <c r="E22" i="81"/>
  <c r="B24" i="4"/>
  <c r="G6" i="4" a="1"/>
  <c r="G6" i="4" s="1"/>
  <c r="I47" i="81"/>
  <c r="F14" i="91" l="1"/>
  <c r="F14" i="81"/>
  <c r="K59" i="85"/>
  <c r="L20" i="83"/>
  <c r="I142" i="81"/>
  <c r="J63" i="85"/>
  <c r="E29" i="83"/>
  <c r="E39" i="83" s="1"/>
  <c r="E58" i="85"/>
  <c r="E68" i="85" s="1"/>
  <c r="E78" i="85" s="1"/>
  <c r="M175" i="81"/>
  <c r="E17" i="83"/>
  <c r="E112" i="81"/>
  <c r="E15" i="83"/>
  <c r="E110" i="81"/>
  <c r="E95" i="81"/>
  <c r="F13" i="4" s="1"/>
  <c r="E93" i="81"/>
  <c r="F11" i="4" s="1"/>
  <c r="K175" i="81"/>
  <c r="N175" i="81" s="1"/>
  <c r="F109" i="81"/>
  <c r="G109" i="81" s="1"/>
  <c r="G82" i="81"/>
  <c r="D93" i="4"/>
  <c r="D91" i="4"/>
  <c r="D90" i="4"/>
  <c r="D92" i="4"/>
  <c r="A89" i="4"/>
  <c r="A91" i="4"/>
  <c r="E175" i="81"/>
  <c r="E142" i="81"/>
  <c r="E160" i="81" s="1"/>
  <c r="K180" i="81"/>
  <c r="K178" i="81"/>
  <c r="K179" i="81"/>
  <c r="K177" i="81"/>
  <c r="E134" i="81"/>
  <c r="E132" i="81"/>
  <c r="L59" i="85" l="1"/>
  <c r="M59" i="85" s="1"/>
  <c r="M20" i="83"/>
  <c r="F25" i="81"/>
  <c r="F23" i="81"/>
  <c r="H23" i="81" s="1"/>
  <c r="N177" i="81" s="1"/>
  <c r="F24" i="81"/>
  <c r="H36" i="85"/>
  <c r="E27" i="83"/>
  <c r="E37" i="83" s="1"/>
  <c r="E56" i="85"/>
  <c r="E66" i="85" s="1"/>
  <c r="E76" i="85" s="1"/>
  <c r="E25" i="83"/>
  <c r="E35" i="83" s="1"/>
  <c r="E54" i="85"/>
  <c r="E64" i="85" s="1"/>
  <c r="E74" i="85" s="1"/>
  <c r="O175" i="81"/>
  <c r="K24" i="83" s="1"/>
  <c r="M73" i="85"/>
  <c r="J14" i="83"/>
  <c r="F24" i="83"/>
  <c r="F42" i="81"/>
  <c r="F14" i="83" s="1"/>
  <c r="K14" i="83"/>
  <c r="H35" i="83"/>
  <c r="H39" i="83"/>
  <c r="H36" i="83"/>
  <c r="H37" i="83"/>
  <c r="H38" i="83"/>
  <c r="E176" i="81"/>
  <c r="E143" i="81"/>
  <c r="E161" i="81" s="1"/>
  <c r="E178" i="81"/>
  <c r="E145" i="81"/>
  <c r="E163" i="81" s="1"/>
  <c r="I50" i="81"/>
  <c r="E25" i="81"/>
  <c r="E136" i="81"/>
  <c r="E23" i="81"/>
  <c r="I48" i="81"/>
  <c r="F34" i="83" l="1"/>
  <c r="L24" i="83"/>
  <c r="K48" i="81"/>
  <c r="L177" i="81"/>
  <c r="M177" i="81" s="1"/>
  <c r="O177" i="81" s="1"/>
  <c r="K26" i="83" s="1"/>
  <c r="K63" i="85"/>
  <c r="K53" i="85"/>
  <c r="F63" i="85"/>
  <c r="J34" i="83"/>
  <c r="J53" i="85"/>
  <c r="J73" i="85" s="1"/>
  <c r="P175" i="81"/>
  <c r="K34" i="83"/>
  <c r="H42" i="81"/>
  <c r="H41" i="81"/>
  <c r="I14" i="83"/>
  <c r="E18" i="83"/>
  <c r="E113" i="81"/>
  <c r="E16" i="83"/>
  <c r="E111" i="81"/>
  <c r="E94" i="81"/>
  <c r="F12" i="4" s="1"/>
  <c r="E96" i="81"/>
  <c r="F14" i="4" s="1"/>
  <c r="E135" i="81"/>
  <c r="E179" i="81" s="1"/>
  <c r="A92" i="4"/>
  <c r="E133" i="81"/>
  <c r="E177" i="81" s="1"/>
  <c r="A90" i="4"/>
  <c r="E180" i="81"/>
  <c r="E147" i="81"/>
  <c r="E165" i="81" s="1"/>
  <c r="I49" i="81"/>
  <c r="H22" i="81"/>
  <c r="F62" i="81" l="1"/>
  <c r="M48" i="81"/>
  <c r="F110" i="81"/>
  <c r="N176" i="81"/>
  <c r="H144" i="81"/>
  <c r="F144" i="81"/>
  <c r="G62" i="81"/>
  <c r="G144" i="81"/>
  <c r="L14" i="83"/>
  <c r="K73" i="85"/>
  <c r="K65" i="85"/>
  <c r="I53" i="85"/>
  <c r="I73" i="85" s="1"/>
  <c r="E28" i="83"/>
  <c r="E38" i="83" s="1"/>
  <c r="E57" i="85"/>
  <c r="E67" i="85" s="1"/>
  <c r="E77" i="85" s="1"/>
  <c r="E26" i="83"/>
  <c r="E36" i="83" s="1"/>
  <c r="E55" i="85"/>
  <c r="E65" i="85" s="1"/>
  <c r="E75" i="85" s="1"/>
  <c r="M24" i="83"/>
  <c r="L63" i="85"/>
  <c r="M63" i="85" s="1"/>
  <c r="F53" i="85"/>
  <c r="F73" i="85" s="1"/>
  <c r="P177" i="81"/>
  <c r="L176" i="81"/>
  <c r="I34" i="83"/>
  <c r="F111" i="81"/>
  <c r="E146" i="81"/>
  <c r="E164" i="81" s="1"/>
  <c r="E144" i="81"/>
  <c r="E162" i="81" s="1"/>
  <c r="N73" i="85" l="1"/>
  <c r="O73" i="85" s="1"/>
  <c r="M47" i="81"/>
  <c r="F25" i="83" s="1"/>
  <c r="L47" i="81"/>
  <c r="F15" i="83" s="1"/>
  <c r="I144" i="81"/>
  <c r="G61" i="81"/>
  <c r="F61" i="81"/>
  <c r="H61" i="81" s="1"/>
  <c r="G15" i="83" s="1"/>
  <c r="M14" i="83"/>
  <c r="L53" i="85"/>
  <c r="M53" i="85" s="1"/>
  <c r="G110" i="81"/>
  <c r="I15" i="83" s="1"/>
  <c r="G111" i="81"/>
  <c r="H143" i="81"/>
  <c r="G143" i="81"/>
  <c r="F143" i="81"/>
  <c r="I161" i="81"/>
  <c r="J161" i="81" s="1"/>
  <c r="J25" i="83" s="1"/>
  <c r="H38" i="85"/>
  <c r="J38" i="85" s="1"/>
  <c r="H37" i="85"/>
  <c r="J37" i="85" s="1"/>
  <c r="M176" i="81"/>
  <c r="I62" i="81" a="1"/>
  <c r="I62" i="81" s="1"/>
  <c r="G26" i="83" s="1"/>
  <c r="I162" i="81"/>
  <c r="J162" i="81" s="1"/>
  <c r="J26" i="83" s="1"/>
  <c r="F26" i="83"/>
  <c r="H62" i="81" a="1"/>
  <c r="H62" i="81" s="1"/>
  <c r="L34" i="83"/>
  <c r="K15" i="83"/>
  <c r="K16" i="83"/>
  <c r="L48" i="81"/>
  <c r="H24" i="81"/>
  <c r="O176" i="81" l="1"/>
  <c r="I61" i="81"/>
  <c r="G25" i="83" s="1"/>
  <c r="F35" i="83"/>
  <c r="I143" i="81"/>
  <c r="M74" i="85"/>
  <c r="M75" i="85"/>
  <c r="G65" i="85"/>
  <c r="F54" i="85"/>
  <c r="J65" i="85"/>
  <c r="G54" i="85"/>
  <c r="K54" i="85"/>
  <c r="F65" i="85"/>
  <c r="J64" i="85"/>
  <c r="F64" i="85"/>
  <c r="K36" i="83"/>
  <c r="K55" i="85"/>
  <c r="K75" i="85" s="1"/>
  <c r="L178" i="81"/>
  <c r="N178" i="81"/>
  <c r="N48" i="81"/>
  <c r="M34" i="83"/>
  <c r="G16" i="83"/>
  <c r="J62" i="81"/>
  <c r="L26" i="83" s="1"/>
  <c r="N47" i="81"/>
  <c r="I16" i="83"/>
  <c r="F16" i="83"/>
  <c r="K53" i="81"/>
  <c r="F145" i="81" s="1"/>
  <c r="F112" i="81"/>
  <c r="H25" i="81"/>
  <c r="N179" i="81" s="1"/>
  <c r="G64" i="85" l="1"/>
  <c r="G74" i="85" s="1"/>
  <c r="J61" i="81"/>
  <c r="G35" i="83" s="1"/>
  <c r="P176" i="81"/>
  <c r="K25" i="83"/>
  <c r="F36" i="83"/>
  <c r="G112" i="81"/>
  <c r="G145" i="81"/>
  <c r="H145" i="81"/>
  <c r="F74" i="85"/>
  <c r="H39" i="85"/>
  <c r="J39" i="85" s="1"/>
  <c r="G55" i="85"/>
  <c r="G75" i="85" s="1"/>
  <c r="I35" i="83"/>
  <c r="I54" i="85"/>
  <c r="I74" i="85" s="1"/>
  <c r="F55" i="85"/>
  <c r="F75" i="85" s="1"/>
  <c r="I36" i="83"/>
  <c r="I55" i="85"/>
  <c r="I75" i="85" s="1"/>
  <c r="M26" i="83"/>
  <c r="L65" i="85"/>
  <c r="M65" i="85" s="1"/>
  <c r="G66" i="81"/>
  <c r="I66" i="81" s="1" a="1"/>
  <c r="I66" i="81" s="1"/>
  <c r="G27" i="83" s="1"/>
  <c r="F66" i="81"/>
  <c r="H66" i="81" s="1" a="1"/>
  <c r="H66" i="81" s="1"/>
  <c r="G17" i="83" s="1"/>
  <c r="L179" i="81"/>
  <c r="K49" i="81"/>
  <c r="M178" i="81"/>
  <c r="O178" i="81" s="1"/>
  <c r="K27" i="83" s="1"/>
  <c r="M179" i="81"/>
  <c r="O179" i="81" s="1"/>
  <c r="K28" i="83" s="1"/>
  <c r="I163" i="81"/>
  <c r="J163" i="81" s="1"/>
  <c r="J27" i="83" s="1"/>
  <c r="G36" i="83"/>
  <c r="M53" i="81"/>
  <c r="F27" i="83" s="1"/>
  <c r="K17" i="83"/>
  <c r="J16" i="83"/>
  <c r="J15" i="83"/>
  <c r="L53" i="81"/>
  <c r="F113" i="81"/>
  <c r="L25" i="83" l="1"/>
  <c r="K64" i="85"/>
  <c r="K74" i="85" s="1"/>
  <c r="K35" i="83"/>
  <c r="F63" i="81"/>
  <c r="H63" i="81" s="1" a="1"/>
  <c r="F146" i="81"/>
  <c r="H146" i="81"/>
  <c r="G146" i="81"/>
  <c r="G113" i="81"/>
  <c r="M76" i="85"/>
  <c r="K66" i="85"/>
  <c r="J54" i="85"/>
  <c r="J74" i="85" s="1"/>
  <c r="F66" i="85"/>
  <c r="K67" i="85"/>
  <c r="J55" i="85"/>
  <c r="J75" i="85" s="1"/>
  <c r="N75" i="85" s="1"/>
  <c r="K56" i="85"/>
  <c r="H40" i="85"/>
  <c r="J40" i="85" s="1"/>
  <c r="G66" i="85"/>
  <c r="J66" i="85"/>
  <c r="G63" i="81"/>
  <c r="I63" i="81" s="1" a="1"/>
  <c r="I63" i="81" s="1"/>
  <c r="G28" i="83" s="1"/>
  <c r="N26" i="83"/>
  <c r="L180" i="81"/>
  <c r="M181" i="81" s="1"/>
  <c r="O181" i="81" s="1"/>
  <c r="N180" i="81"/>
  <c r="P179" i="81"/>
  <c r="K37" i="83"/>
  <c r="P178" i="81"/>
  <c r="M180" i="81"/>
  <c r="O180" i="81" s="1"/>
  <c r="K29" i="83" s="1"/>
  <c r="I164" i="81"/>
  <c r="J164" i="81" s="1"/>
  <c r="J28" i="83" s="1"/>
  <c r="N53" i="81"/>
  <c r="L16" i="83"/>
  <c r="J36" i="83"/>
  <c r="M49" i="81"/>
  <c r="F28" i="83" s="1"/>
  <c r="L15" i="83"/>
  <c r="J35" i="83"/>
  <c r="J66" i="81"/>
  <c r="L27" i="83" s="1"/>
  <c r="K18" i="83"/>
  <c r="F17" i="83"/>
  <c r="I17" i="83"/>
  <c r="I145" i="81"/>
  <c r="L49" i="81"/>
  <c r="K50" i="81"/>
  <c r="F114" i="81"/>
  <c r="N74" i="85" l="1"/>
  <c r="O74" i="85" s="1"/>
  <c r="P74" i="85" s="1"/>
  <c r="O75" i="85"/>
  <c r="P75" i="85" s="1"/>
  <c r="P181" i="81"/>
  <c r="K30" i="83"/>
  <c r="K69" i="85" s="1"/>
  <c r="K79" i="85" s="1"/>
  <c r="N79" i="85" s="1"/>
  <c r="O79" i="85" s="1"/>
  <c r="L64" i="85"/>
  <c r="M64" i="85" s="1"/>
  <c r="M25" i="83"/>
  <c r="H63" i="81"/>
  <c r="L54" i="85"/>
  <c r="M54" i="85" s="1"/>
  <c r="F37" i="83"/>
  <c r="H147" i="81"/>
  <c r="G147" i="81"/>
  <c r="F147" i="81"/>
  <c r="G114" i="81"/>
  <c r="M77" i="85"/>
  <c r="K76" i="85"/>
  <c r="G67" i="85"/>
  <c r="J67" i="85"/>
  <c r="K68" i="85"/>
  <c r="H41" i="85"/>
  <c r="J41" i="85" s="1"/>
  <c r="L55" i="85"/>
  <c r="M55" i="85" s="1"/>
  <c r="N65" i="85"/>
  <c r="F67" i="85"/>
  <c r="K38" i="83"/>
  <c r="K57" i="85"/>
  <c r="K77" i="85" s="1"/>
  <c r="M15" i="83"/>
  <c r="M27" i="83"/>
  <c r="L66" i="85"/>
  <c r="M66" i="85" s="1"/>
  <c r="I37" i="83"/>
  <c r="I56" i="85"/>
  <c r="I76" i="85" s="1"/>
  <c r="F56" i="85"/>
  <c r="F76" i="85" s="1"/>
  <c r="P180" i="81"/>
  <c r="G64" i="81"/>
  <c r="I64" i="81" s="1" a="1"/>
  <c r="I64" i="81" s="1"/>
  <c r="G29" i="83" s="1"/>
  <c r="F64" i="81"/>
  <c r="H64" i="81" s="1" a="1"/>
  <c r="H64" i="81" s="1"/>
  <c r="G19" i="83" s="1"/>
  <c r="I165" i="81"/>
  <c r="J165" i="81" s="1"/>
  <c r="J29" i="83" s="1"/>
  <c r="N49" i="81"/>
  <c r="L35" i="83"/>
  <c r="M50" i="81"/>
  <c r="F29" i="83" s="1"/>
  <c r="M16" i="83"/>
  <c r="L36" i="83"/>
  <c r="J17" i="83"/>
  <c r="K19" i="83"/>
  <c r="I18" i="83"/>
  <c r="F18" i="83"/>
  <c r="I146" i="81"/>
  <c r="L50" i="81"/>
  <c r="J63" i="81" l="1"/>
  <c r="G18" i="83"/>
  <c r="G58" i="85"/>
  <c r="K40" i="83"/>
  <c r="L30" i="83"/>
  <c r="L69" i="85" s="1"/>
  <c r="M69" i="85" s="1"/>
  <c r="N25" i="83"/>
  <c r="F38" i="83"/>
  <c r="M78" i="85"/>
  <c r="F68" i="85"/>
  <c r="G68" i="85"/>
  <c r="J56" i="85"/>
  <c r="J76" i="85" s="1"/>
  <c r="J68" i="85"/>
  <c r="M35" i="83"/>
  <c r="N15" i="83"/>
  <c r="N27" i="83"/>
  <c r="F57" i="85"/>
  <c r="F77" i="85" s="1"/>
  <c r="I38" i="83"/>
  <c r="I57" i="85"/>
  <c r="I77" i="85" s="1"/>
  <c r="K39" i="83"/>
  <c r="K58" i="85"/>
  <c r="K78" i="85" s="1"/>
  <c r="G37" i="83"/>
  <c r="G39" i="83"/>
  <c r="L28" i="83"/>
  <c r="N16" i="83"/>
  <c r="M36" i="83"/>
  <c r="J64" i="81"/>
  <c r="J37" i="83"/>
  <c r="N50" i="81"/>
  <c r="J18" i="83"/>
  <c r="I19" i="83"/>
  <c r="F19" i="83"/>
  <c r="I147" i="81"/>
  <c r="G78" i="85" l="1"/>
  <c r="M30" i="83"/>
  <c r="L40" i="83"/>
  <c r="L17" i="83"/>
  <c r="G56" i="85"/>
  <c r="G76" i="85" s="1"/>
  <c r="N76" i="85" s="1"/>
  <c r="N64" i="85"/>
  <c r="F39" i="83"/>
  <c r="G57" i="85"/>
  <c r="G77" i="85" s="1"/>
  <c r="J57" i="85"/>
  <c r="J77" i="85" s="1"/>
  <c r="N66" i="85"/>
  <c r="N35" i="83"/>
  <c r="N54" i="85"/>
  <c r="F58" i="85"/>
  <c r="F78" i="85" s="1"/>
  <c r="I39" i="83"/>
  <c r="I58" i="85"/>
  <c r="I78" i="85" s="1"/>
  <c r="N36" i="83"/>
  <c r="N55" i="85"/>
  <c r="M28" i="83"/>
  <c r="L67" i="85"/>
  <c r="M67" i="85" s="1"/>
  <c r="G38" i="83"/>
  <c r="L29" i="83"/>
  <c r="L18" i="83"/>
  <c r="J38" i="83"/>
  <c r="J19" i="83"/>
  <c r="O76" i="85" l="1"/>
  <c r="P76" i="85" s="1"/>
  <c r="M40" i="83"/>
  <c r="L37" i="83"/>
  <c r="M17" i="83"/>
  <c r="L56" i="85"/>
  <c r="M56" i="85" s="1"/>
  <c r="N77" i="85"/>
  <c r="J58" i="85"/>
  <c r="J78" i="85" s="1"/>
  <c r="N78" i="85" s="1"/>
  <c r="L57" i="85"/>
  <c r="M57" i="85" s="1"/>
  <c r="M29" i="83"/>
  <c r="L68" i="85"/>
  <c r="M68" i="85" s="1"/>
  <c r="N28" i="83"/>
  <c r="M18" i="83"/>
  <c r="L38" i="83"/>
  <c r="L19" i="83"/>
  <c r="J39" i="83"/>
  <c r="O77" i="85" l="1"/>
  <c r="P77" i="85" s="1"/>
  <c r="O78" i="85"/>
  <c r="P78" i="85" s="1"/>
  <c r="M37" i="83"/>
  <c r="N17" i="83"/>
  <c r="L58" i="85"/>
  <c r="M58" i="85" s="1"/>
  <c r="N67" i="85"/>
  <c r="N29" i="83"/>
  <c r="M19" i="83"/>
  <c r="L39" i="83"/>
  <c r="N18" i="83"/>
  <c r="M38" i="83"/>
  <c r="N37" i="83" l="1"/>
  <c r="N56" i="85"/>
  <c r="N68" i="85"/>
  <c r="N38" i="83"/>
  <c r="N57" i="85"/>
  <c r="N19" i="83"/>
  <c r="M39" i="83"/>
  <c r="N39" i="83" l="1"/>
  <c r="N58" i="8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<sst xmlns="http://schemas.openxmlformats.org/spreadsheetml/2006/main" count="661" uniqueCount="340">
  <si>
    <r>
      <t xml:space="preserve">Cost calculator for Xydalba® </t>
    </r>
    <r>
      <rPr>
        <b/>
        <sz val="20"/>
        <color theme="0"/>
        <rFont val="Calibri"/>
        <family val="2"/>
      </rPr>
      <t>–</t>
    </r>
    <r>
      <rPr>
        <b/>
        <sz val="20"/>
        <color theme="0"/>
        <rFont val="Calibri"/>
        <family val="2"/>
        <scheme val="minor"/>
      </rPr>
      <t xml:space="preserve"> Instructions</t>
    </r>
  </si>
  <si>
    <t>This worksheet provides detailed instructions on how to use the calculator.</t>
  </si>
  <si>
    <t>Calculator navigation</t>
  </si>
  <si>
    <t xml:space="preserve">The Excel workbook uses macros, which must be enabled to use the navigation buttons. </t>
  </si>
  <si>
    <t xml:space="preserve">To advance to a different worksheet, click on the relevant button in the menu bar on the left portion of the screen. </t>
  </si>
  <si>
    <t>Changes to inputs</t>
  </si>
  <si>
    <t>Cells shaded in purple can be altered (see example below).  When a new value is entered, the calculator will automatically update the results.</t>
  </si>
  <si>
    <t>Cell that can be changed:</t>
  </si>
  <si>
    <t>Example</t>
  </si>
  <si>
    <t>White cells and cells shaded in grey contain formulas that cannot be altered because they are protected (examples below).</t>
  </si>
  <si>
    <t>Cells with formulas:</t>
  </si>
  <si>
    <t xml:space="preserve">There is a restore button on each of the worksheets that would restore the inputs (purple cells) of all the worksheets to their original value. </t>
  </si>
  <si>
    <t>Cost calculator assumptions</t>
  </si>
  <si>
    <t>The patient profiles, assumptions, and parameters included in the model were developed based on the opinions of consulted Canadian clinical experts.</t>
  </si>
  <si>
    <t>"Patient profile / Length of hospital stay" section</t>
  </si>
  <si>
    <t>As mentioned above, population selection has an impact on the length of hospital stay. The table below shows an example of the length of stay per treatment. Note that, in addition to the different patient profiles, the dropdown menu also contains the option "Customised length of stay values". When this option is selected, the second column of the table below becomes purple and the user can enter the values of their choice.</t>
  </si>
  <si>
    <t>"Antibiotic costs" section</t>
  </si>
  <si>
    <t xml:space="preserve">This section will calculate the total antibiotic cost for the inpatient stay. </t>
  </si>
  <si>
    <t xml:space="preserve">For the calculation of the total cost of Xydalba in both inpatient and outpatient settings, a dropdown menu allows the user to select the administration of Xydalba as a single dose of 1,500 mg or a dose of 1,000 mg followed by a second dose of 500 mg one week later. The administration costs are accounted for in both inpatient and outpatient settings and depend on the length of hospitalisation selected. </t>
  </si>
  <si>
    <t xml:space="preserve">For vancomycin, the dropdown menu allows the selection of 1,000 mg, 2,000 mg, or 3,000 mg per infusion. All other dosages will generate a warning message asking the user if they want to continue with these values. Clicking "yes" allows the use of a different value. The same applies to the ceftriaxone dropdown menu (1,000 mg or 2,000 mg). Linezolid does not contain a dropdown menu as the only dosage available is 600 mg. However, the entry of a dosage different than 600 mg will generate a warning message. Finally, cefazolin and daptomycin are not associated with any dosage restrictions. </t>
  </si>
  <si>
    <t>"Catheter or PICC line costs" section</t>
  </si>
  <si>
    <t>The user should enter the proportion of utilisation for each method of administration in order to calculate a weighted average cost. The total proportion of utilisation should be 100%. If the total is not 100%, the "Total infusion cost" utilisation will be highlighted. This will not prevent the model from performing the calculation, but the user should suspect an error in the weighted average cost.</t>
  </si>
  <si>
    <t>"Hospital stay costs" section</t>
  </si>
  <si>
    <t>This section allows for the calculation of the cost of the hospital stay. The length of hospitalisation from the "Patient profile / Length of hospital stay" section is multiplied by the daily cost of hospitalisation for a patient with a skin infection.</t>
  </si>
  <si>
    <t>The table "Minutes of work per administration" allows the user to enter the minutes per day spent by a pharmacist, assistant technician, and nurse for a given treatment. These minutes are converted into hours and multiplied by the hourly rate for these professionals to obtain the total cost calculated in the table below.</t>
  </si>
  <si>
    <t>The number of hours per infusion of each treatment is based on the respective product monographs and is converted into administration cost by multiplying the hours by a nurse hourly rate.</t>
  </si>
  <si>
    <t>"Monitoring costs" section</t>
  </si>
  <si>
    <t>"Results" worksheet</t>
  </si>
  <si>
    <t>This worksheet summarises all the costs from previous sections. Costs are presented as disaggregated for inpatient and outpatient settings and as a combined cost.</t>
  </si>
  <si>
    <t>The default assumes the calculation of costs for one patient, but the "Number of patients to consider in the calculation" allows for the calculation to be performed on more than one patient with the same characteristics (i.e., length of treatment, length of hospitalisation, etc.)</t>
  </si>
  <si>
    <t>"Additional NIHB costs" worksheet</t>
  </si>
  <si>
    <t>Cost calculator</t>
  </si>
  <si>
    <t>Patient profile / Length of hospital stay</t>
  </si>
  <si>
    <t>Select the relevant population scenario</t>
  </si>
  <si>
    <t>Selected population scenario</t>
  </si>
  <si>
    <t>Definition</t>
  </si>
  <si>
    <t>Source / Assumption</t>
  </si>
  <si>
    <t>Length of hospitalisation (days)</t>
  </si>
  <si>
    <t>Treatment</t>
  </si>
  <si>
    <t>Population-based value</t>
  </si>
  <si>
    <t>Customised value</t>
  </si>
  <si>
    <t>Selected value</t>
  </si>
  <si>
    <t>Xydalba</t>
  </si>
  <si>
    <t>Antibiotic costs</t>
  </si>
  <si>
    <t>Xydalba cost per mg</t>
  </si>
  <si>
    <t>Source: Paladin data on file</t>
  </si>
  <si>
    <t>Administration options for Xydalba</t>
  </si>
  <si>
    <t>Inpatient settings</t>
  </si>
  <si>
    <t>Outpatient settings</t>
  </si>
  <si>
    <t>Total treatment</t>
  </si>
  <si>
    <t>Xydalba dosage (in mg)</t>
  </si>
  <si>
    <t>Xydalba total cost ($)</t>
  </si>
  <si>
    <t>Total length of antibiotic treatment 
(Oral and IV combined, Days)</t>
  </si>
  <si>
    <t>Daily cost of selected comparators</t>
  </si>
  <si>
    <t>Dose per administration (mg)</t>
  </si>
  <si>
    <t>Number of administrations per day</t>
  </si>
  <si>
    <t>Cost / mg ($)</t>
  </si>
  <si>
    <t>Daily cost ($)</t>
  </si>
  <si>
    <t>Length of IV treatment (Days)</t>
  </si>
  <si>
    <t>Length of hospitalisation (Days)</t>
  </si>
  <si>
    <r>
      <t>Total inpatient treatment cost ($)</t>
    </r>
    <r>
      <rPr>
        <b/>
        <vertAlign val="superscript"/>
        <sz val="11"/>
        <color theme="1"/>
        <rFont val="Calibri"/>
        <family val="2"/>
        <scheme val="minor"/>
      </rPr>
      <t>1</t>
    </r>
  </si>
  <si>
    <r>
      <t>Total outpatient treatment cost ($)</t>
    </r>
    <r>
      <rPr>
        <b/>
        <vertAlign val="superscript"/>
        <sz val="11"/>
        <color theme="1"/>
        <rFont val="Calibri"/>
        <family val="2"/>
        <scheme val="minor"/>
      </rPr>
      <t>2</t>
    </r>
  </si>
  <si>
    <t>Total treatment cost ($)</t>
  </si>
  <si>
    <t>Vancomycin IV</t>
  </si>
  <si>
    <t>Linezolid IV</t>
  </si>
  <si>
    <t>Cefazolin IV</t>
  </si>
  <si>
    <t>Ceftriaxone IV</t>
  </si>
  <si>
    <t>Patient's weight (kg)</t>
  </si>
  <si>
    <t>Daily dose (mg/kg)</t>
  </si>
  <si>
    <r>
      <t>Total inpatient IV treatment cost ($)</t>
    </r>
    <r>
      <rPr>
        <b/>
        <vertAlign val="superscript"/>
        <sz val="11"/>
        <color theme="1"/>
        <rFont val="Calibri"/>
        <family val="2"/>
        <scheme val="minor"/>
      </rPr>
      <t>1</t>
    </r>
  </si>
  <si>
    <r>
      <t>Total outpatient IV treatment cost ($)</t>
    </r>
    <r>
      <rPr>
        <b/>
        <vertAlign val="superscript"/>
        <sz val="11"/>
        <color theme="1"/>
        <rFont val="Calibri"/>
        <family val="2"/>
        <scheme val="minor"/>
      </rPr>
      <t>2</t>
    </r>
  </si>
  <si>
    <t>Daptomycin</t>
  </si>
  <si>
    <t>Cost of subsequent oral antibiotic</t>
  </si>
  <si>
    <t>Assumption and references</t>
  </si>
  <si>
    <t>Oral antibiotic (weighted average)</t>
  </si>
  <si>
    <t>The cost of oral treatment is a weighted average of linezolid PO, clindamycin PO, cephalexin PO, cloxacillin PO, sulfamethoxazole / trimethoprim PO, and amoxicillin / clavulanate potassium PO (weights are based on expert opinion)</t>
  </si>
  <si>
    <t>Post-IV oral antibiotic treatments</t>
  </si>
  <si>
    <t>Inpatient length of oral treatment (Days)</t>
  </si>
  <si>
    <t>Outpatient length of oral treatment (Days)</t>
  </si>
  <si>
    <r>
      <t>Total inpatient treatment cost ($)</t>
    </r>
    <r>
      <rPr>
        <b/>
        <vertAlign val="superscript"/>
        <sz val="11"/>
        <color theme="1"/>
        <rFont val="Calibri"/>
        <family val="2"/>
        <scheme val="minor"/>
      </rPr>
      <t>3</t>
    </r>
  </si>
  <si>
    <r>
      <t>Total outpatient treatment cost ($)</t>
    </r>
    <r>
      <rPr>
        <b/>
        <vertAlign val="superscript"/>
        <sz val="11"/>
        <color theme="1"/>
        <rFont val="Calibri"/>
        <family val="2"/>
        <scheme val="minor"/>
      </rPr>
      <t>4</t>
    </r>
  </si>
  <si>
    <t>Post-vancomycin IV oral antibiotics</t>
  </si>
  <si>
    <t>Post-linezolid IV oral antibiotics</t>
  </si>
  <si>
    <t>Post-cefazolin IV oral antibiotics</t>
  </si>
  <si>
    <t>Post-ceftriaxone IV oral antibiotics</t>
  </si>
  <si>
    <t>Post-daptomycin IV oral antibiotics</t>
  </si>
  <si>
    <t>1. The total inpatient IV treatment cost multiplies the daily cost with the length of IV treatment or the length of hospitalisation, whichever is the shortest.</t>
  </si>
  <si>
    <t>2. The total outpatient IV treatment cost multiplies the daily cost with the length of IV treatment in the outpatient settings, if any.</t>
  </si>
  <si>
    <t>3. The cost of subsequent inpatient oral antibiotic treatment is accounted for only in cases where patients are still hospitalised while on oral antibiotics.</t>
  </si>
  <si>
    <t>4. The cost of subsequent outpatient oral antibiotic treatment is accounted for only in cases the length of antibiotic treatment is greater than the length of hospitalisation and the length of IV treatment.</t>
  </si>
  <si>
    <t>Catheter or PICC line costs</t>
  </si>
  <si>
    <t>Cost of a catheter or PICC line for comparators</t>
  </si>
  <si>
    <t>% of utilisation</t>
  </si>
  <si>
    <t>Cost per utilisation ($)</t>
  </si>
  <si>
    <t>PICC line</t>
  </si>
  <si>
    <t>Catheter</t>
  </si>
  <si>
    <t>Other (e.g., a pump)</t>
  </si>
  <si>
    <t>Total infusion cost</t>
  </si>
  <si>
    <t xml:space="preserve">Note: the total proportion of utilisation must sum to 100% in order to properly calculate the total cost for infusion. If not, the total utilisation formatting will be highlighted. </t>
  </si>
  <si>
    <t>Proportion of the cost incured in the inpatient settings</t>
  </si>
  <si>
    <t>Total inpatient cost</t>
  </si>
  <si>
    <t>Total outpatient cost</t>
  </si>
  <si>
    <t xml:space="preserve">Antibiotics for which a catheter or a PICC line is used </t>
  </si>
  <si>
    <t>Hospital stay costs</t>
  </si>
  <si>
    <t>Cost of hospitalisation</t>
  </si>
  <si>
    <t>Input</t>
  </si>
  <si>
    <t>Daily cost of hospitalisation ($)</t>
  </si>
  <si>
    <t xml:space="preserve">CIHI Patient Cost estimator (2014-2018), accessed on 01 July 2021, extrapolated to 2022 using an assumption of a fixed growth rate </t>
  </si>
  <si>
    <t>Length of stay (Days)</t>
  </si>
  <si>
    <t>Hospital cost ($)</t>
  </si>
  <si>
    <t>Treatment administration costs, inpatient settings</t>
  </si>
  <si>
    <t>Hourly rate for a pharmacist ($)</t>
  </si>
  <si>
    <t>Source: Pettigrew et al. 2012, adjusted to 2022</t>
  </si>
  <si>
    <t>Hourly rate for a pharmacy assistant technician ($)</t>
  </si>
  <si>
    <t>Hourly rate for a nurse ($)</t>
  </si>
  <si>
    <t>Source: Statistic Canada extrapolated to 2022</t>
  </si>
  <si>
    <t>Minutes spent daily for treatment administration</t>
  </si>
  <si>
    <t>Pharmacist</t>
  </si>
  <si>
    <t>Assistant technician</t>
  </si>
  <si>
    <t>Nurse time</t>
  </si>
  <si>
    <t>1st day</t>
  </si>
  <si>
    <t>Subsequent days</t>
  </si>
  <si>
    <t>Per day</t>
  </si>
  <si>
    <t>Per day of administration</t>
  </si>
  <si>
    <t>-</t>
  </si>
  <si>
    <t>Pharmacist and assistant technician time: expert opinion; Nurse time: 5 minutes per administration was assumed</t>
  </si>
  <si>
    <t>Pharmacist: 20 minutes is considered at Day 1 and 10 minutes every three days converted into minutes per day for subsequent days (expert opinion); Assistant technician: 10 minutes per infusion x 2 infusions (expert opinion); Nurse: 5 minutes per administration was assumed</t>
  </si>
  <si>
    <t>Pharmacist: 10 minutes for the first day (expert opinion) and 10 minutes per week in subsequent days; Assistant technician: 3 minutes per infusion (Pettigrew et al. 2012) x 2 infusions; Nurse time: 5 minutes per administration was assumed</t>
  </si>
  <si>
    <t>Pharmacist: 10 minutes at Day 1 (expert opinion) and 10 minutes per week converted into minutes per day for subsequent days; Assistant technician: same as Xydalba (expert opinion); Nurse time: 5 minutes per administration was assumed</t>
  </si>
  <si>
    <t>Pharmacist: 5 minutes at Day 1 and 5 minutes per week converted into minutes per day for subsequent days; Assistant technician: 5 minutes per administration (expert opinion); Nurse time: 5 minutes per administration was assumed</t>
  </si>
  <si>
    <t>Costs per inpatient stay</t>
  </si>
  <si>
    <t>Total pharmacist cost ($)</t>
  </si>
  <si>
    <t>Total assistant technician cost ($)</t>
  </si>
  <si>
    <t>Total nurse cost ($)</t>
  </si>
  <si>
    <t>Total inpatient cost ($)</t>
  </si>
  <si>
    <t>Treatment administration costs, outpatient settings</t>
  </si>
  <si>
    <t>Infusion Cost (for outpatient patients)</t>
  </si>
  <si>
    <t>Cost per hour ($)</t>
  </si>
  <si>
    <t>Cost per day of infusion</t>
  </si>
  <si>
    <t>Hours per day</t>
  </si>
  <si>
    <t>Cost per infusion ($)</t>
  </si>
  <si>
    <t>Number of outpatient infusions</t>
  </si>
  <si>
    <t>Total outpatient cost ($)</t>
  </si>
  <si>
    <t>Assumption</t>
  </si>
  <si>
    <t>XYDALBA should be administered over 30 minutes by intravenous infusion</t>
  </si>
  <si>
    <t>Each dose should be administered at a rate of no more than 10 mg/minute.</t>
  </si>
  <si>
    <t>Linezolid injection should be administered by intravenous infusion over a period of 30 to 120 minutes.</t>
  </si>
  <si>
    <t>Inject the appropriately diluted reconstituted solution slowly over 3 to 5 minutes.</t>
  </si>
  <si>
    <t>Should be given over a period of 20 to 30 minutes in adults.</t>
  </si>
  <si>
    <t>Daptomycin for Injection 4 mg/kg should be administered intravenously, either by injection over a 2-minute period or by infusion over a 30-minute period. A 30 minute period was used.</t>
  </si>
  <si>
    <t>Note that the pharmacist costs (e.g., dispensing fee) are conservatively excluded from this analysis for simplicity</t>
  </si>
  <si>
    <t>Monitoring costs</t>
  </si>
  <si>
    <t>Weekly monitoring frequency</t>
  </si>
  <si>
    <t>CBC-diff</t>
  </si>
  <si>
    <t>BMP including K, Cr, Bun</t>
  </si>
  <si>
    <t>Liver profile: ALT, AST, ALK, Tbil</t>
  </si>
  <si>
    <t>Vancomycin trough level</t>
  </si>
  <si>
    <t>Total weekly monitoring cost ($)</t>
  </si>
  <si>
    <t>Number of inpatient setting monitoring*</t>
  </si>
  <si>
    <t>Total cost in the inpatient settings ($)</t>
  </si>
  <si>
    <t>Total cost in the outpatient settings ($)</t>
  </si>
  <si>
    <t>Total cost ($)</t>
  </si>
  <si>
    <t>Unit cost ($)</t>
  </si>
  <si>
    <t>Source for frequency of monitoring: Norris et al. 2018 IDSA Clinical Practice Guideline for the Management of OPAT</t>
  </si>
  <si>
    <t>Source for cost of monitoring: Ministry of Health Ontario Health Insurance Plan. Laboratories and Genetics Branch. Schedule of Benefits for Laboratory Services (Effective July 1, 2020)</t>
  </si>
  <si>
    <t>* These are weekly tests, and are assumed to be performed at Day 1 for all patients and at Day 8 for patients who are still treated</t>
  </si>
  <si>
    <t>Total cost calculation</t>
  </si>
  <si>
    <t>Number of patients to consider in the calculation</t>
  </si>
  <si>
    <t>Inpatient Settings</t>
  </si>
  <si>
    <t>IV antibiotic
($)</t>
  </si>
  <si>
    <t>Subsequent oral antibiotic ($)</t>
  </si>
  <si>
    <t>Catheter/PICC ($)</t>
  </si>
  <si>
    <t>Hospital stay ($)</t>
  </si>
  <si>
    <t>Administration ($)</t>
  </si>
  <si>
    <t>Monitoring 
($)</t>
  </si>
  <si>
    <t>Total treatment cost per patient 
($)</t>
  </si>
  <si>
    <t>Total cost for all patients considered ($)</t>
  </si>
  <si>
    <t>Outpatient Settings</t>
  </si>
  <si>
    <t>Total cost</t>
  </si>
  <si>
    <t>Additional costs for patients from remote locations</t>
  </si>
  <si>
    <t>Transport</t>
  </si>
  <si>
    <t>Cost ($ per flight)</t>
  </si>
  <si>
    <t>Include air transport?</t>
  </si>
  <si>
    <t>Total costs</t>
  </si>
  <si>
    <t>No</t>
  </si>
  <si>
    <t>Yes</t>
  </si>
  <si>
    <t>Caregiver accommodation and transport</t>
  </si>
  <si>
    <t>Proportion of patients with an accompanying carer</t>
  </si>
  <si>
    <t>Nightly accommodationrate (per night)</t>
  </si>
  <si>
    <t>Meal rates ($)</t>
  </si>
  <si>
    <t>One day</t>
  </si>
  <si>
    <t>Overnight</t>
  </si>
  <si>
    <t xml:space="preserve">Weekly </t>
  </si>
  <si>
    <t>Include overnight stay?</t>
  </si>
  <si>
    <t>Length of stay (in days)</t>
  </si>
  <si>
    <t>Include meals?</t>
  </si>
  <si>
    <t>Results for NIHB patients</t>
  </si>
  <si>
    <t>Total cost including NIHB</t>
  </si>
  <si>
    <t>Patient transport ($)</t>
  </si>
  <si>
    <t>Cost of Xydalba ($)</t>
  </si>
  <si>
    <t>Linezolid injection should be administered by intravenous infusion over a period of 30 to 120 
minutes.</t>
  </si>
  <si>
    <t>Transport cost sources</t>
  </si>
  <si>
    <t>Medivac transport ($, per flight)</t>
  </si>
  <si>
    <t>Nunavut health minister threatens to forward medical travel bills to Ottawa over lack of negotiations | Nunatsiaq News, 2021</t>
  </si>
  <si>
    <t>Portion payée par le gouvernement Canadien, ça ne veut pas dire que c'est ça</t>
  </si>
  <si>
    <t>Accommodation for 1 caregiver travelling with the patient</t>
  </si>
  <si>
    <t>$150/day</t>
  </si>
  <si>
    <r>
      <t xml:space="preserve">Did not find this info in the site </t>
    </r>
    <r>
      <rPr>
        <sz val="11"/>
        <color theme="4"/>
        <rFont val="Calibri"/>
        <family val="2"/>
        <scheme val="minor"/>
      </rPr>
      <t>An environmental scan of emergency response systems and services in remote First Nations communities in Northern Ontario - PMC (nih.gov)</t>
    </r>
  </si>
  <si>
    <t>Meal rates for patients and caregiver</t>
  </si>
  <si>
    <t>Day rate</t>
  </si>
  <si>
    <t>Medical Transportation Benefit (fnha.ca)</t>
  </si>
  <si>
    <t>Overnight rate</t>
  </si>
  <si>
    <t>Weekly rate</t>
  </si>
  <si>
    <t>Milleage rate (per km)</t>
  </si>
  <si>
    <t xml:space="preserve">First nation health authority  </t>
  </si>
  <si>
    <t>https://www.fnha.ca/Documents/FNHA-Medical-Transportation-Benefits-Schedule.pdf</t>
  </si>
  <si>
    <t>Nightly accommodation rates</t>
  </si>
  <si>
    <t>Source: https://www.fnha.ca/Documents/FNHA-Medical-Transportation-Benefits-Schedule.pdf accessed on 29 September 2023; varying between $125 and $150, using the middle point.</t>
  </si>
  <si>
    <t>Patient transportation fees - Fraser Health Authority</t>
  </si>
  <si>
    <t>And Islandhealth.ca</t>
  </si>
  <si>
    <t>Patient Transportation Fees | Island Health</t>
  </si>
  <si>
    <t>Kornelsen et al. BMC Health Services research 2021: out of pocket expensens for patient travel in BC (from rural area)</t>
  </si>
  <si>
    <t>Those statistics are interesting but all respondants are from rural locations</t>
  </si>
  <si>
    <t>One dose of 1,500 mg</t>
  </si>
  <si>
    <t>One dose of 1,000 mg and one dose of 500 mg 1 week later</t>
  </si>
  <si>
    <t>selection</t>
  </si>
  <si>
    <t>setting_Xyd_dose</t>
  </si>
  <si>
    <t>value</t>
  </si>
  <si>
    <t>Population option</t>
  </si>
  <si>
    <t>Utilisation of a catheter/PICC line</t>
  </si>
  <si>
    <t>Customised length of stay values</t>
  </si>
  <si>
    <t>setting_LoSopt</t>
  </si>
  <si>
    <t>Vancomycin dosage (in mg)</t>
  </si>
  <si>
    <t>setting_Vanco_dose</t>
  </si>
  <si>
    <t>Inputs for monitoring costs</t>
  </si>
  <si>
    <t>Blood draw cost</t>
  </si>
  <si>
    <t>Ministry of Health Ontario Health Insurance Plan. Laboratories and Genetics Branch. Schedule of Benefits for Laboratory Services (Effective July 1, 2020)</t>
  </si>
  <si>
    <t>Antibiotic level, serum</t>
  </si>
  <si>
    <t>BMP= basic metabolic panel (glucose, calcium, bun (blood urea nitrogen), creatinine, sodium, potassium, bicarbonate, chloride)</t>
  </si>
  <si>
    <t>Glucose</t>
  </si>
  <si>
    <t>Calcium</t>
  </si>
  <si>
    <t>BUN</t>
  </si>
  <si>
    <t>Creatinine</t>
  </si>
  <si>
    <t>Sodium</t>
  </si>
  <si>
    <t>Potassium</t>
  </si>
  <si>
    <t>Bicarbonate</t>
  </si>
  <si>
    <t>Chloride</t>
  </si>
  <si>
    <t>ALT</t>
  </si>
  <si>
    <t>AST</t>
  </si>
  <si>
    <t>ALK</t>
  </si>
  <si>
    <t>Tbil</t>
  </si>
  <si>
    <t>CPI Canada (Bank of Canada), Total CPI, february of each year, https://www.bankofcanada.ca/rates/price-indexes/cpi/</t>
  </si>
  <si>
    <t>Population options</t>
  </si>
  <si>
    <t>Selected population</t>
  </si>
  <si>
    <t>Customised values</t>
  </si>
  <si>
    <t xml:space="preserve">Hospitalisation for the IV portion of treatment only </t>
  </si>
  <si>
    <t>Hospitalisation required for the length of antibiotic treatment</t>
  </si>
  <si>
    <t>Ambulatory care delayed</t>
  </si>
  <si>
    <t>Length of stay to be selected by the user</t>
  </si>
  <si>
    <t>A patient who could be discharged but ambulatory care cannot be organised (e.g., lives in a remote location). Note that the length of IV treatment can be modified in the "Antibiotic costs" section.</t>
  </si>
  <si>
    <t>A patient who could be discharged but has a high likelihood of non-adherence to outpatient treatment (e.g., homeless, PWID)</t>
  </si>
  <si>
    <t>A patient who could be discharged but time is needed to organise ambulatory care</t>
  </si>
  <si>
    <t>Source</t>
  </si>
  <si>
    <t>User must enter the relevant length of stay for each treatment in the "Customised Value" column below</t>
  </si>
  <si>
    <t>McCarthy et al. 2020 (ENHANCE ABSSSI trial)</t>
  </si>
  <si>
    <t>Xydalba: no hospitalisation; Comparators: hospital length of stay is set equal to the length of IV treatment</t>
  </si>
  <si>
    <t>Xydalba: no hospitalisation; Comparators: hospital length of stay is set equal to the length of antibiotic treatment</t>
  </si>
  <si>
    <t>Xydalba: no hospitalisation; Comparators: assumes hospital discharge is delayed by 3 days</t>
  </si>
  <si>
    <t>Nightly accommodation rate (per night)</t>
  </si>
  <si>
    <t>Infusion Cost (for outpatients)</t>
  </si>
  <si>
    <t>The costs are disaggregated, which allows for the consideration of inpatient and outpatient setting costs separately.</t>
  </si>
  <si>
    <t>For inpatient settings, the costs are calculated using the hospital perspective and include the following items:
   - Antibiotic utilisation in the inpatient setting 
   - Catheter or a PICC line
   - Hospital stay
   - Hospital pharmacist, assistant technician, and nurse for treatment administration
   - In-hospital monitoring</t>
  </si>
  <si>
    <t>For outpatient settings, the costs are calculated using the public payer perspective (please confirm) and include the following items:
   - Antibiotic utilisation in the outpatient setting
   - Catheter or a PICC line
   - Nurse for treatment administration
   - Monitoring in the outpatient settings</t>
  </si>
  <si>
    <t>The "Total inpatient treatment cost" then multiplies the total daily cost by the duration of IV treatment within the inpatient setting, which corresponds to the minimum value between the treatment duration and the hospital length of stay.
If the IV treatment is longer than the hospital stay, the remaining cost of the treatment would be included in the "Total outpatient treatment cost".</t>
  </si>
  <si>
    <t xml:space="preserve">The model allows for a potential switch to oral treatment. As the total duration of the antibiotic treatment considered is 14 days, oral antibiotics would only be considered in cases where the length of IV treatment is shorter than the total length of antibiotic treatment. These costs would be incurred in the inpatient or outpatient settings depending on the relative length of hospitalisation. </t>
  </si>
  <si>
    <t>The default model assumes that 100% of administration costs will be incurred in an inpatient setting, but a portion or the totality of these costs could also be captured in the outpatient setting by decreasing the parameter "Proportion of the cost incurred in the inpatient setting".</t>
  </si>
  <si>
    <t>"Treatment administration costs, inpatient settings" section</t>
  </si>
  <si>
    <t>This section calculates the cost of pharmacists, assistant technicians, and nurses involved in inpatient antibiotic administration.</t>
  </si>
  <si>
    <t>"Treatment administration costs, outpatient settings" section</t>
  </si>
  <si>
    <t>This section calculates the cost of nurse administrating the IV antibiotic in an outpatient setting.</t>
  </si>
  <si>
    <t xml:space="preserve">This section calculates the cost of monitoring antibiotic treatment. The number of tests required weekly are entered in the "Weekly monitoring frequency" table and the cost of these tests are calculated and accounted for in the inpatient or outpatient settings depending on the length of treatment relative to the hospital length of stay. </t>
  </si>
  <si>
    <t>This worksheet allows for the addition of costs that are specific to NIHB patients. It includes the following:
    - Patient medical evacuation transportation (i.e., MEDEVAC)
    - Caregiver cost, for carer accompanying patients (i.e., meal cost and accommodation cost)</t>
  </si>
  <si>
    <t>Incremental impact* 
($)</t>
  </si>
  <si>
    <t>*Note: negative incremental impact means that Xydalba generates savings</t>
  </si>
  <si>
    <t>Assumption: 12% of the NIHB population are 65 years old and over. This placeholder would suggest that 25% of them would require a caregiver.</t>
  </si>
  <si>
    <t>Other</t>
  </si>
  <si>
    <t>Placeholder</t>
  </si>
  <si>
    <t>Post-other IV oral antibiotics</t>
  </si>
  <si>
    <t>Placholder</t>
  </si>
  <si>
    <r>
      <t>Total inpatient IV treatment cost ($)</t>
    </r>
    <r>
      <rPr>
        <b/>
        <vertAlign val="superscript"/>
        <sz val="11"/>
        <color theme="1"/>
        <rFont val="Calibri"/>
        <family val="2"/>
        <scheme val="minor"/>
      </rPr>
      <t>3</t>
    </r>
  </si>
  <si>
    <r>
      <t>Total outpatient IV treatment cost ($)</t>
    </r>
    <r>
      <rPr>
        <b/>
        <vertAlign val="superscript"/>
        <sz val="11"/>
        <color theme="1"/>
        <rFont val="Calibri"/>
        <family val="2"/>
        <scheme val="minor"/>
      </rPr>
      <t>4</t>
    </r>
  </si>
  <si>
    <t xml:space="preserve">Statistic Canada, Table 18-10-0004-08, Health care </t>
  </si>
  <si>
    <t>Cost source: Ontario Drug Benefit Formulary, accessed on January 2024</t>
  </si>
  <si>
    <t>Cost source: Québec RAMQ Liste des médicament, December 2023</t>
  </si>
  <si>
    <t>Linezolid PO</t>
  </si>
  <si>
    <t>Clindamycin PO</t>
  </si>
  <si>
    <t>Cephalexin PO</t>
  </si>
  <si>
    <t>Cloxacillin PO</t>
  </si>
  <si>
    <t>Sulfamethoxazole / Trimethoprim PO</t>
  </si>
  <si>
    <t>Clavulin PO</t>
  </si>
  <si>
    <t>Weight</t>
  </si>
  <si>
    <t xml:space="preserve"> Ontario Drug Benefit Formulary, accessed on January 2024</t>
  </si>
  <si>
    <t>Dose</t>
  </si>
  <si>
    <t>Daily units</t>
  </si>
  <si>
    <t>Cost/mg</t>
  </si>
  <si>
    <t>Daily cost</t>
  </si>
  <si>
    <t>The cost of oral treatment is a weighted average of linezolid PO, clindamycin PO, cephalexin PO, cloxacillin PO, sulfamethoxazole / trimethoprim PO, and amoxicillin / clavulanate potassium PO (weights are based on Canadian expert opinion). Source cost: Ontario Drug Benefit Formulary accessed on January 2024</t>
  </si>
  <si>
    <t>Total inpatient treatment cost ($)</t>
  </si>
  <si>
    <t>Total outpatient treatment cost ($)</t>
  </si>
  <si>
    <t>CADTH HTIS June 2008, https://www.cadth.ca/sites/default/files/pdf/htis/Peripherally%20Inserted%20Central%20Catheter%20(PICC)%20Stabilization%20Devices%20Clinical%20and%20Cost-Effectiveness.pdf; accessed on 02 January 2023; USD converted Ito CAD using exchange rate from Government of Canada, inflated to December 2023 using Statistic Canada CPI for Health care</t>
  </si>
  <si>
    <t>RAMQ. MANUEL Rémunération à l’acte. Médecin spécialistes, accessed on January 2024</t>
  </si>
  <si>
    <t>CIHI Patient Cost estimator (2021-2022), inflated to December 2023</t>
  </si>
  <si>
    <t>Source: Pettigrew et al. 2012, adjusted to December 2023</t>
  </si>
  <si>
    <t>Source: Statistics Canada 2018 data, inflated to December 2023</t>
  </si>
  <si>
    <t>Medical Transportation Benefit (fnha.ca), accessed on January 2024</t>
  </si>
  <si>
    <t>Source for cost of monitoring: Ministry of Health Ontario Health Insurance Plan. Laboratories and Genetics Branch. Schedule of Benefits for Laboratory Services (Effective July 1, 2020), inflated to December 2023.</t>
  </si>
  <si>
    <t>% utilisation</t>
  </si>
  <si>
    <t>Cost</t>
  </si>
  <si>
    <t>% utilisation: placeholder. Cost: https://www.ncbi.nlm.nih.gov/pmc/articles/PMC3748437/, accessed on 29 January 2024</t>
  </si>
  <si>
    <t>% utilisation: placeholder. Cost: assuming a round trip from Iqaluit to Ottawa $1,004 x 2) (https://www.ca.kayak.com/flight-routes/Iqaluit-YFB/Ottawa-YOW, accessed on 29 January 2024)</t>
  </si>
  <si>
    <t>Commercial flight (round trip)</t>
  </si>
  <si>
    <t>Proportion of patients with an escort</t>
  </si>
  <si>
    <t>Number of patients considered in the calculation</t>
  </si>
  <si>
    <t>Proportion of patients requiring an escort</t>
  </si>
  <si>
    <t>Escort accommodation ($)</t>
  </si>
  <si>
    <t>* When air transport is included, the escort is assumed to be using a commercial flight with the same % utilisation than the patient.</t>
  </si>
  <si>
    <t>Please select a value between 1 and 14 days.  This input is used to calculate the total antibiotic cost and also, the number of days in the outpatient setting, which would correspond to the total length of antibiotic treatment minus the length of hospitalisation for each treatment.</t>
  </si>
  <si>
    <r>
      <t xml:space="preserve">Cost calculator for Xydalba® </t>
    </r>
    <r>
      <rPr>
        <b/>
        <sz val="20"/>
        <color theme="0"/>
        <rFont val="Calibri"/>
        <family val="2"/>
      </rPr>
      <t>–</t>
    </r>
    <r>
      <rPr>
        <b/>
        <sz val="20"/>
        <color theme="0"/>
        <rFont val="Calibri"/>
        <family val="2"/>
        <scheme val="minor"/>
      </rPr>
      <t xml:space="preserve"> Cost calculator</t>
    </r>
  </si>
  <si>
    <r>
      <t xml:space="preserve">Cost calculator for Xydalba® </t>
    </r>
    <r>
      <rPr>
        <b/>
        <sz val="20"/>
        <color theme="0"/>
        <rFont val="Calibri"/>
        <family val="2"/>
      </rPr>
      <t>–</t>
    </r>
    <r>
      <rPr>
        <b/>
        <sz val="20"/>
        <color theme="0"/>
        <rFont val="Calibri"/>
        <family val="2"/>
        <scheme val="minor"/>
      </rPr>
      <t xml:space="preserve"> Results</t>
    </r>
  </si>
  <si>
    <r>
      <t xml:space="preserve">Cost calculator for Xydalba® </t>
    </r>
    <r>
      <rPr>
        <b/>
        <sz val="20"/>
        <color theme="0"/>
        <rFont val="Calibri"/>
        <family val="2"/>
      </rPr>
      <t>–</t>
    </r>
    <r>
      <rPr>
        <b/>
        <sz val="20"/>
        <color theme="0"/>
        <rFont val="Calibri"/>
        <family val="2"/>
        <scheme val="minor"/>
      </rPr>
      <t xml:space="preserve"> NIHB </t>
    </r>
  </si>
  <si>
    <t>The cost-calculator allows you to calculate in-patient or outpatient/ambulatory costs. Outpatient/ambulatory costs are based off the difference of the total treatment period (F14) and the length of hospitalization. All inputs are user modifable.</t>
  </si>
  <si>
    <t>Xydalba is treatment of adult patients with acute bacterial skin and skin structure infections (ABSSSI), caused by susceptible isolates of the following gram-positive microorganisms: Staphylococcus aureus (including methicillin-susceptible and methicillin-resistant strains), Streptococcus pyogenes, Streptococcus agalactiae, Streptococcus dysgalactiae, Streptococcus anginosus group (including Streptococcus anginosus, Streptococcus intermedius, Streptococcus constellatus) and Enterococcus faecalis
(vancomycin susceptible strains).</t>
  </si>
  <si>
    <t>Xydalba is indicated for the treatment of adult patients with acute bacterial skin and skin structure infections (ABSSSI), caused by susceptible isolates of the following gram-positive microorganisms: Staphylococcus aureus (including methicillin-susceptible and methicillin-resistant strains), Streptococcus pyogenes, Streptococcus agalactiae, Streptococcus dysgalactiae, Streptococcus anginosus group (including Streptococcus anginosus, Streptococcus intermedius, Streptococcus constellatus) and Enterococcus faecalis (vancomycin susceptible strains) - Product Monograph (2021)</t>
  </si>
  <si>
    <t>The calculator is calibrated for up to a maximum of 14 days of treatment, which roughly corresponds to the duration of antibiotic coverage provided by Xydalba.</t>
  </si>
  <si>
    <t>In the first section, use the dropdown menu to select the relevant population or patient profile, which will determine length of stay. The table under the dropdown menu provides details regarding the source or assumption for that selection (see example below). When a different population is selected, the table contents are adjusted accordingly. The default length of stay value is based on a published study from the US (McCarthy et al. 2020).</t>
  </si>
  <si>
    <t>The calculator assumes that a catheter or PICC line will not be necessary for Xydalba. For the comparators, the calculator assumes that a catheter or PICC line will be used. However, the user can add a third "Other" option, if desired.</t>
  </si>
  <si>
    <t>Xydalba IV</t>
  </si>
  <si>
    <t>Average length of stay (based on a US published study)</t>
  </si>
  <si>
    <t>Uses average length of stay based on a US published study</t>
  </si>
  <si>
    <t>Number of outpatient setting monitoring*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</si>
</sst>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Red]\-&quot;$&quot;#,##0"/>
    <numFmt numFmtId="8" formatCode="&quot;$&quot;#,##0.00;[Red]\-&quot;$&quot;#,##0.00"/>
    <numFmt numFmtId="43" formatCode="_-* #,##0.00_-;\-* #,##0.00_-;_-* &quot;-&quot;??_-;_-@_-"/>
    <numFmt numFmtId="164" formatCode="_ * #,##0.00_)\ &quot;$&quot;_ ;_ * \(#,##0.00\)\ &quot;$&quot;_ ;_ * &quot;-&quot;??_)\ &quot;$&quot;_ ;_ @_ "/>
    <numFmt numFmtId="165" formatCode="0.000"/>
    <numFmt numFmtId="166" formatCode="0.0000"/>
    <numFmt numFmtId="167" formatCode="#,##0.0"/>
    <numFmt numFmtId="168" formatCode="_-* #,##0.00\ _€_-;\-* #,##0.00\ _€_-;_-* &quot;-&quot;??\ _€_-;_-@_-"/>
    <numFmt numFmtId="169" formatCode="#,##0.0000"/>
    <numFmt numFmtId="170" formatCode="0.0"/>
    <numFmt numFmtId="171" formatCode="0.0%"/>
    <numFmt numFmtId="172" formatCode="0_ ;\-0\ "/>
  </numFmts>
  <fonts count="52" x14ac:knownFonts="1">
    <font>
      <sz val="11"/>
      <color theme="1"/>
      <name val="Calibri"/>
      <family val="2"/>
      <scheme val="minor"/>
    </font>
    <font>
      <sz val="11"/>
      <color theme="1"/>
      <name val="Calibri"/>
      <family val="2"/>
      <scheme val="minor"/>
    </font>
    <font>
      <sz val="11"/>
      <color theme="0"/>
      <name val="Calibri"/>
      <family val="2"/>
      <scheme val="minor"/>
    </font>
    <font>
      <b/>
      <sz val="20"/>
      <color theme="0"/>
      <name val="Calibri"/>
      <family val="2"/>
      <scheme val="minor"/>
    </font>
    <font>
      <sz val="10"/>
      <name val="Arial"/>
      <family val="2"/>
    </font>
    <font>
      <sz val="12"/>
      <name val="Calibri"/>
      <family val="2"/>
    </font>
    <font>
      <sz val="10"/>
      <name val="Calibri"/>
      <family val="2"/>
    </font>
    <font>
      <b/>
      <sz val="10"/>
      <name val="Calibri"/>
      <family val="2"/>
    </font>
    <font>
      <b/>
      <sz val="14"/>
      <name val="Calibri"/>
      <family val="2"/>
    </font>
    <font>
      <sz val="12"/>
      <color theme="1"/>
      <name val="Calibri"/>
      <family val="2"/>
    </font>
    <font>
      <sz val="12"/>
      <color theme="1"/>
      <name val="Calibri"/>
      <family val="2"/>
      <scheme val="minor"/>
    </font>
    <font>
      <sz val="11"/>
      <name val="Calibri"/>
      <family val="2"/>
      <scheme val="minor"/>
    </font>
    <font>
      <sz val="12"/>
      <color theme="3"/>
      <name val="Calibri"/>
      <family val="2"/>
      <scheme val="minor"/>
    </font>
    <font>
      <b/>
      <sz val="11"/>
      <color theme="1"/>
      <name val="Calibri"/>
      <family val="2"/>
      <scheme val="minor"/>
    </font>
    <font>
      <sz val="11"/>
      <color rgb="FFFF0000"/>
      <name val="Calibri"/>
      <family val="2"/>
      <scheme val="minor"/>
    </font>
    <font>
      <sz val="8"/>
      <name val="Arial"/>
      <family val="2"/>
    </font>
    <font>
      <b/>
      <sz val="14"/>
      <color rgb="FF964B8F"/>
      <name val="Calibri"/>
      <family val="2"/>
      <scheme val="minor"/>
    </font>
    <font>
      <i/>
      <sz val="12"/>
      <color theme="1"/>
      <name val="Calibri"/>
      <family val="2"/>
      <scheme val="minor"/>
    </font>
    <font>
      <u/>
      <sz val="12"/>
      <color theme="1"/>
      <name val="Calibri"/>
      <family val="2"/>
      <scheme val="minor"/>
    </font>
    <font>
      <b/>
      <sz val="11"/>
      <name val="Calibri"/>
      <family val="2"/>
      <scheme val="minor"/>
    </font>
    <font>
      <b/>
      <i/>
      <sz val="11"/>
      <name val="Calibri"/>
      <family val="2"/>
      <scheme val="minor"/>
    </font>
    <font>
      <sz val="11"/>
      <color theme="1"/>
      <name val="Arial"/>
      <family val="2"/>
    </font>
    <font>
      <b/>
      <sz val="11"/>
      <name val="Arial"/>
      <family val="2"/>
    </font>
    <font>
      <sz val="11"/>
      <name val="Arial"/>
      <family val="2"/>
    </font>
    <font>
      <b/>
      <sz val="11"/>
      <color theme="0"/>
      <name val="Arial"/>
      <family val="2"/>
    </font>
    <font>
      <sz val="9"/>
      <name val="Arial"/>
      <family val="2"/>
    </font>
    <font>
      <u/>
      <sz val="11"/>
      <color rgb="FF0070C0"/>
      <name val="Arial"/>
      <family val="2"/>
    </font>
    <font>
      <sz val="12"/>
      <color theme="1"/>
      <name val="Arial"/>
      <family val="2"/>
    </font>
    <font>
      <u/>
      <sz val="11"/>
      <color rgb="FF852062"/>
      <name val="Arial"/>
      <family val="2"/>
    </font>
    <font>
      <sz val="30"/>
      <name val="Calibri"/>
      <family val="2"/>
    </font>
    <font>
      <sz val="24"/>
      <name val="Calibri"/>
      <family val="2"/>
    </font>
    <font>
      <b/>
      <sz val="18"/>
      <name val="Calibri"/>
      <family val="2"/>
    </font>
    <font>
      <b/>
      <sz val="15"/>
      <name val="Calibri"/>
      <family val="2"/>
    </font>
    <font>
      <i/>
      <sz val="11"/>
      <color theme="1"/>
      <name val="Calibri"/>
      <family val="2"/>
      <scheme val="minor"/>
    </font>
    <font>
      <i/>
      <sz val="11"/>
      <name val="Calibri"/>
      <family val="2"/>
      <scheme val="minor"/>
    </font>
    <font>
      <b/>
      <i/>
      <sz val="11"/>
      <color rgb="FF964B8F"/>
      <name val="Calibri"/>
      <family val="2"/>
      <scheme val="minor"/>
    </font>
    <font>
      <i/>
      <sz val="10"/>
      <name val="Calibri"/>
      <family val="2"/>
      <scheme val="minor"/>
    </font>
    <font>
      <b/>
      <vertAlign val="superscript"/>
      <sz val="11"/>
      <color theme="1"/>
      <name val="Calibri"/>
      <family val="2"/>
      <scheme val="minor"/>
    </font>
    <font>
      <i/>
      <sz val="10"/>
      <color theme="1"/>
      <name val="Calibri"/>
      <family val="2"/>
      <scheme val="minor"/>
    </font>
    <font>
      <b/>
      <sz val="20"/>
      <color theme="0"/>
      <name val="Calibri"/>
      <family val="2"/>
    </font>
    <font>
      <sz val="12"/>
      <name val="Calibri"/>
      <family val="2"/>
      <scheme val="minor"/>
    </font>
    <font>
      <i/>
      <sz val="12"/>
      <name val="Calibri"/>
      <family val="2"/>
      <scheme val="minor"/>
    </font>
    <font>
      <u/>
      <sz val="11"/>
      <color theme="10"/>
      <name val="Calibri"/>
      <family val="2"/>
      <scheme val="minor"/>
    </font>
    <font>
      <sz val="11"/>
      <color rgb="FF242424"/>
      <name val="Calibri"/>
      <family val="2"/>
      <scheme val="minor"/>
    </font>
    <font>
      <sz val="11"/>
      <color theme="4"/>
      <name val="Calibri"/>
      <family val="2"/>
      <scheme val="minor"/>
    </font>
    <font>
      <b/>
      <sz val="14"/>
      <color theme="1"/>
      <name val="Calibri"/>
      <family val="2"/>
      <scheme val="minor"/>
    </font>
    <font>
      <b/>
      <sz val="16"/>
      <color theme="1"/>
      <name val="Calibri"/>
      <family val="2"/>
      <scheme val="minor"/>
    </font>
    <font>
      <sz val="11"/>
      <color theme="1" tint="0.34998626667073579"/>
      <name val="Calibri"/>
      <family val="2"/>
      <scheme val="minor"/>
    </font>
    <font>
      <i/>
      <sz val="11"/>
      <color rgb="FFFF0000"/>
      <name val="Calibri"/>
      <family val="2"/>
      <scheme val="minor"/>
    </font>
    <font>
      <sz val="9"/>
      <color theme="1"/>
      <name val="Calibri"/>
      <family val="2"/>
      <scheme val="minor"/>
    </font>
    <font>
      <sz val="8"/>
      <name val="Calibri"/>
      <family val="2"/>
      <scheme val="minor"/>
    </font>
    <font>
      <i/>
      <sz val="10"/>
      <color theme="0"/>
      <name val="Calibri"/>
      <family val="2"/>
      <scheme val="minor"/>
    </font>
  </fonts>
  <fills count="13">
    <fill>
      <patternFill patternType="none"/>
    </fill>
    <fill>
      <patternFill patternType="gray125"/>
    </fill>
    <fill>
      <patternFill patternType="solid">
        <fgColor rgb="FF00905B"/>
        <bgColor indexed="64"/>
      </patternFill>
    </fill>
    <fill>
      <patternFill patternType="solid">
        <fgColor rgb="FF964B8F"/>
        <bgColor indexed="64"/>
      </patternFill>
    </fill>
    <fill>
      <patternFill patternType="solid">
        <fgColor theme="0"/>
        <bgColor indexed="64"/>
      </patternFill>
    </fill>
    <fill>
      <patternFill patternType="solid">
        <fgColor theme="2" tint="-0.249977111117893"/>
        <bgColor indexed="64"/>
      </patternFill>
    </fill>
    <fill>
      <patternFill patternType="solid">
        <fgColor rgb="FFAFABAB"/>
        <bgColor indexed="64"/>
      </patternFill>
    </fill>
    <fill>
      <patternFill patternType="solid">
        <fgColor rgb="FF58595B"/>
        <bgColor indexed="64"/>
      </patternFill>
    </fill>
    <fill>
      <patternFill patternType="solid">
        <fgColor rgb="FFA7A9AC"/>
        <bgColor indexed="64"/>
      </patternFill>
    </fill>
    <fill>
      <patternFill patternType="solid">
        <fgColor theme="2" tint="-0.499984740745262"/>
        <bgColor indexed="64"/>
      </patternFill>
    </fill>
    <fill>
      <patternFill patternType="solid">
        <fgColor rgb="FFE6E7E8"/>
        <bgColor indexed="64"/>
      </patternFill>
    </fill>
    <fill>
      <patternFill patternType="solid">
        <fgColor theme="0" tint="-0.14999847407452621"/>
        <bgColor indexed="64"/>
      </patternFill>
    </fill>
    <fill>
      <patternFill patternType="solid">
        <fgColor rgb="FFFFFF00"/>
        <bgColor indexed="64"/>
      </patternFill>
    </fill>
  </fills>
  <borders count="15">
    <border>
      <left/>
      <right/>
      <top/>
      <bottom/>
      <diagonal/>
    </border>
    <border>
      <left/>
      <right/>
      <top/>
      <bottom style="double">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bottom style="medium">
        <color rgb="FF964B8F"/>
      </bottom>
      <diagonal/>
    </border>
    <border>
      <left/>
      <right style="thin">
        <color theme="0"/>
      </right>
      <top style="thin">
        <color auto="1"/>
      </top>
      <bottom style="thin">
        <color auto="1"/>
      </bottom>
      <diagonal/>
    </border>
    <border>
      <left/>
      <right/>
      <top/>
      <bottom style="medium">
        <color indexed="64"/>
      </bottom>
      <diagonal/>
    </border>
  </borders>
  <cellStyleXfs count="28">
    <xf numFmtId="0" fontId="0" fillId="0" borderId="0"/>
    <xf numFmtId="9" fontId="1" fillId="0" borderId="0" applyFont="0" applyFill="0" applyBorder="0" applyAlignment="0" applyProtection="0"/>
    <xf numFmtId="0" fontId="4" fillId="0" borderId="0"/>
    <xf numFmtId="164" fontId="1" fillId="0" borderId="0" applyFont="0" applyFill="0" applyBorder="0" applyAlignment="0" applyProtection="0"/>
    <xf numFmtId="0" fontId="4" fillId="0" borderId="0"/>
    <xf numFmtId="164" fontId="15" fillId="0" borderId="0" applyFont="0" applyFill="0" applyBorder="0" applyAlignment="0" applyProtection="0"/>
    <xf numFmtId="0" fontId="10" fillId="0" borderId="0"/>
    <xf numFmtId="168" fontId="10" fillId="0" borderId="0" applyFont="0" applyFill="0" applyBorder="0" applyAlignment="0" applyProtection="0"/>
    <xf numFmtId="9" fontId="10" fillId="0" borderId="0" applyFont="0" applyFill="0" applyBorder="0" applyAlignment="0" applyProtection="0"/>
    <xf numFmtId="0" fontId="10" fillId="0" borderId="0"/>
    <xf numFmtId="168" fontId="10" fillId="0" borderId="0" applyFont="0" applyFill="0" applyBorder="0" applyAlignment="0" applyProtection="0"/>
    <xf numFmtId="0" fontId="21" fillId="0" borderId="0"/>
    <xf numFmtId="49" fontId="26" fillId="0" borderId="0" applyFill="0" applyBorder="0" applyAlignment="0" applyProtection="0"/>
    <xf numFmtId="0" fontId="29" fillId="0" borderId="0" applyNumberFormat="0" applyFill="0" applyProtection="0">
      <alignment horizontal="left" vertical="top"/>
    </xf>
    <xf numFmtId="0" fontId="30" fillId="0" borderId="0" applyNumberFormat="0" applyProtection="0">
      <alignment horizontal="left" vertical="top"/>
    </xf>
    <xf numFmtId="0" fontId="31" fillId="0" borderId="0" applyNumberFormat="0" applyProtection="0">
      <alignment horizontal="left" vertical="top"/>
    </xf>
    <xf numFmtId="0" fontId="32" fillId="0" borderId="0" applyNumberFormat="0" applyProtection="0">
      <alignment horizontal="left" vertical="top"/>
    </xf>
    <xf numFmtId="0" fontId="23" fillId="0" borderId="0" applyNumberFormat="0" applyProtection="0">
      <alignment horizontal="left" vertical="top" wrapText="1"/>
    </xf>
    <xf numFmtId="0" fontId="27" fillId="0" borderId="0" applyNumberFormat="0" applyFill="0" applyProtection="0">
      <alignment horizontal="left" vertical="top"/>
    </xf>
    <xf numFmtId="0" fontId="24" fillId="7" borderId="13" applyNumberFormat="0" applyProtection="0">
      <alignment horizontal="left" vertical="top"/>
    </xf>
    <xf numFmtId="0" fontId="25" fillId="0" borderId="0" applyNumberFormat="0" applyProtection="0">
      <alignment horizontal="left" vertical="top"/>
    </xf>
    <xf numFmtId="0" fontId="22" fillId="8" borderId="11" applyNumberFormat="0" applyProtection="0">
      <alignment horizontal="left" vertical="top"/>
    </xf>
    <xf numFmtId="0" fontId="27" fillId="0" borderId="0" applyNumberFormat="0" applyProtection="0">
      <alignment horizontal="left" vertical="top"/>
    </xf>
    <xf numFmtId="0" fontId="28" fillId="0" borderId="0" applyNumberFormat="0" applyFill="0" applyBorder="0" applyAlignment="0" applyProtection="0"/>
    <xf numFmtId="9" fontId="21" fillId="0" borderId="0" applyFont="0" applyFill="0" applyBorder="0" applyAlignment="0" applyProtection="0"/>
    <xf numFmtId="0" fontId="26" fillId="0" borderId="0" applyNumberFormat="0" applyFill="0" applyBorder="0" applyAlignment="0" applyProtection="0"/>
    <xf numFmtId="0" fontId="42" fillId="0" borderId="0" applyNumberFormat="0" applyFill="0" applyBorder="0" applyAlignment="0" applyProtection="0"/>
    <xf numFmtId="43" fontId="1" fillId="0" borderId="0" applyFont="0" applyFill="0" applyBorder="0" applyAlignment="0" applyProtection="0"/>
  </cellStyleXfs>
  <cellXfs count="198">
    <xf numFmtId="0" fontId="0" fillId="0" borderId="0" xfId="0"/>
    <xf numFmtId="0" fontId="0" fillId="2" borderId="0" xfId="0" applyFill="1"/>
    <xf numFmtId="0" fontId="0" fillId="4" borderId="0" xfId="0" applyFill="1"/>
    <xf numFmtId="0" fontId="3" fillId="2" borderId="0" xfId="0" applyFont="1" applyFill="1" applyAlignment="1">
      <alignment vertical="center"/>
    </xf>
    <xf numFmtId="0" fontId="5" fillId="4" borderId="0" xfId="2" applyFont="1" applyFill="1"/>
    <xf numFmtId="0" fontId="6" fillId="4" borderId="0" xfId="2" applyFont="1" applyFill="1"/>
    <xf numFmtId="0" fontId="7" fillId="4" borderId="0" xfId="2" applyFont="1" applyFill="1"/>
    <xf numFmtId="0" fontId="8" fillId="4" borderId="1" xfId="2" applyFont="1" applyFill="1" applyBorder="1"/>
    <xf numFmtId="0" fontId="6" fillId="4" borderId="1" xfId="2" applyFont="1" applyFill="1" applyBorder="1"/>
    <xf numFmtId="0" fontId="0" fillId="4" borderId="1" xfId="0" applyFill="1" applyBorder="1"/>
    <xf numFmtId="0" fontId="10" fillId="4" borderId="0" xfId="0" applyFont="1" applyFill="1"/>
    <xf numFmtId="0" fontId="10" fillId="4" borderId="0" xfId="0" applyFont="1" applyFill="1" applyAlignment="1">
      <alignment vertical="top" wrapText="1"/>
    </xf>
    <xf numFmtId="0" fontId="0" fillId="4" borderId="0" xfId="0" applyFill="1" applyAlignment="1">
      <alignment vertical="top" wrapText="1"/>
    </xf>
    <xf numFmtId="0" fontId="10" fillId="4" borderId="0" xfId="0" applyFont="1" applyFill="1" applyAlignment="1">
      <alignment horizontal="left" indent="4"/>
    </xf>
    <xf numFmtId="0" fontId="12" fillId="4" borderId="0" xfId="0" applyFont="1" applyFill="1" applyAlignment="1">
      <alignment vertical="top" wrapText="1"/>
    </xf>
    <xf numFmtId="9" fontId="11" fillId="5" borderId="2" xfId="0" applyNumberFormat="1" applyFont="1" applyFill="1" applyBorder="1" applyAlignment="1">
      <alignment horizontal="center" vertical="top" wrapText="1"/>
    </xf>
    <xf numFmtId="3" fontId="2" fillId="3" borderId="2" xfId="0" applyNumberFormat="1" applyFont="1" applyFill="1" applyBorder="1" applyAlignment="1">
      <alignment horizontal="center" vertical="top" wrapText="1"/>
    </xf>
    <xf numFmtId="0" fontId="13" fillId="4" borderId="0" xfId="0" applyFont="1" applyFill="1"/>
    <xf numFmtId="0" fontId="13" fillId="4" borderId="0" xfId="0" applyFont="1" applyFill="1" applyAlignment="1">
      <alignment horizontal="center"/>
    </xf>
    <xf numFmtId="1" fontId="2" fillId="3" borderId="2" xfId="1" applyNumberFormat="1" applyFont="1" applyFill="1" applyBorder="1" applyAlignment="1">
      <alignment horizontal="center" vertical="top" wrapText="1"/>
    </xf>
    <xf numFmtId="0" fontId="13" fillId="4" borderId="0" xfId="0" applyFont="1" applyFill="1" applyAlignment="1">
      <alignment horizontal="center" wrapText="1"/>
    </xf>
    <xf numFmtId="0" fontId="0" fillId="4" borderId="4" xfId="0"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0" fillId="4" borderId="9" xfId="0" applyFill="1" applyBorder="1"/>
    <xf numFmtId="0" fontId="0" fillId="4" borderId="10" xfId="0" applyFill="1" applyBorder="1"/>
    <xf numFmtId="2" fontId="2" fillId="3" borderId="2" xfId="1" applyNumberFormat="1" applyFont="1" applyFill="1" applyBorder="1" applyAlignment="1">
      <alignment horizontal="center" vertical="top" wrapText="1"/>
    </xf>
    <xf numFmtId="0" fontId="14" fillId="4" borderId="0" xfId="0" applyFont="1" applyFill="1"/>
    <xf numFmtId="0" fontId="11" fillId="4" borderId="0" xfId="0" applyFont="1" applyFill="1"/>
    <xf numFmtId="0" fontId="16" fillId="4" borderId="12" xfId="0" applyFont="1" applyFill="1" applyBorder="1"/>
    <xf numFmtId="0" fontId="0" fillId="4" borderId="12" xfId="0" applyFill="1" applyBorder="1"/>
    <xf numFmtId="0" fontId="0" fillId="4" borderId="0" xfId="0" applyFill="1" applyAlignment="1">
      <alignment horizontal="left" indent="1"/>
    </xf>
    <xf numFmtId="0" fontId="17" fillId="4" borderId="0" xfId="0" applyFont="1" applyFill="1"/>
    <xf numFmtId="0" fontId="18" fillId="4" borderId="3" xfId="0" applyFont="1" applyFill="1" applyBorder="1"/>
    <xf numFmtId="9" fontId="2" fillId="3" borderId="2" xfId="1" applyFont="1" applyFill="1" applyBorder="1" applyAlignment="1">
      <alignment horizontal="center" vertical="top" wrapText="1"/>
    </xf>
    <xf numFmtId="2" fontId="19" fillId="4" borderId="0" xfId="1" applyNumberFormat="1" applyFont="1" applyFill="1" applyBorder="1" applyAlignment="1">
      <alignment horizontal="center" vertical="top" wrapText="1"/>
    </xf>
    <xf numFmtId="1" fontId="19" fillId="4" borderId="0" xfId="1" applyNumberFormat="1" applyFont="1" applyFill="1" applyBorder="1" applyAlignment="1">
      <alignment horizontal="left" indent="1"/>
    </xf>
    <xf numFmtId="0" fontId="11" fillId="4" borderId="0" xfId="0" applyFont="1" applyFill="1" applyAlignment="1">
      <alignment horizontal="left" indent="1"/>
    </xf>
    <xf numFmtId="0" fontId="19" fillId="4" borderId="0" xfId="0" applyFont="1" applyFill="1"/>
    <xf numFmtId="0" fontId="11" fillId="4" borderId="2" xfId="0" applyFont="1" applyFill="1" applyBorder="1" applyAlignment="1">
      <alignment horizontal="center"/>
    </xf>
    <xf numFmtId="0" fontId="0" fillId="4" borderId="2" xfId="0" applyFill="1" applyBorder="1" applyAlignment="1">
      <alignment horizontal="center"/>
    </xf>
    <xf numFmtId="0" fontId="13" fillId="4" borderId="2" xfId="0" applyFont="1" applyFill="1" applyBorder="1" applyAlignment="1">
      <alignment horizontal="center" wrapText="1"/>
    </xf>
    <xf numFmtId="1" fontId="0" fillId="4" borderId="2" xfId="0" applyNumberFormat="1" applyFill="1" applyBorder="1" applyAlignment="1">
      <alignment horizontal="center"/>
    </xf>
    <xf numFmtId="0" fontId="0" fillId="4" borderId="2" xfId="0" applyFill="1" applyBorder="1" applyAlignment="1">
      <alignment horizontal="center" vertical="center" wrapText="1"/>
    </xf>
    <xf numFmtId="0" fontId="13" fillId="4" borderId="2" xfId="0" applyFont="1" applyFill="1" applyBorder="1" applyAlignment="1">
      <alignment horizontal="left" vertical="center" wrapText="1"/>
    </xf>
    <xf numFmtId="0" fontId="13" fillId="4" borderId="2" xfId="0" applyFont="1" applyFill="1" applyBorder="1" applyAlignment="1">
      <alignment horizontal="left" vertical="center"/>
    </xf>
    <xf numFmtId="167" fontId="11" fillId="6" borderId="2" xfId="1" applyNumberFormat="1" applyFont="1" applyFill="1" applyBorder="1" applyAlignment="1">
      <alignment horizontal="center" vertical="top" wrapText="1"/>
    </xf>
    <xf numFmtId="0" fontId="0" fillId="4" borderId="0" xfId="0" applyFill="1" applyAlignment="1">
      <alignment horizontal="left" wrapText="1"/>
    </xf>
    <xf numFmtId="0" fontId="13" fillId="4" borderId="0" xfId="0" applyFont="1" applyFill="1" applyAlignment="1">
      <alignment wrapText="1"/>
    </xf>
    <xf numFmtId="0" fontId="13" fillId="0" borderId="0" xfId="0" applyFont="1" applyAlignment="1">
      <alignment horizontal="center"/>
    </xf>
    <xf numFmtId="2" fontId="0" fillId="4" borderId="0" xfId="0" applyNumberFormat="1" applyFill="1" applyAlignment="1">
      <alignment horizontal="center" vertical="center"/>
    </xf>
    <xf numFmtId="1" fontId="2" fillId="4" borderId="0" xfId="1" applyNumberFormat="1" applyFont="1" applyFill="1" applyBorder="1" applyAlignment="1">
      <alignment horizontal="center" vertical="top" wrapText="1"/>
    </xf>
    <xf numFmtId="0" fontId="13" fillId="4" borderId="2" xfId="0" applyFont="1" applyFill="1" applyBorder="1" applyAlignment="1">
      <alignment horizontal="left" wrapText="1"/>
    </xf>
    <xf numFmtId="0" fontId="10" fillId="4" borderId="0" xfId="0" applyFont="1" applyFill="1" applyAlignment="1">
      <alignment horizontal="left" vertical="top" wrapText="1"/>
    </xf>
    <xf numFmtId="0" fontId="19" fillId="4" borderId="2" xfId="0" applyFont="1" applyFill="1" applyBorder="1" applyAlignment="1">
      <alignment horizontal="center" wrapText="1"/>
    </xf>
    <xf numFmtId="0" fontId="11" fillId="4" borderId="2" xfId="0" applyFont="1" applyFill="1" applyBorder="1" applyAlignment="1">
      <alignment horizontal="center" vertical="center" wrapText="1"/>
    </xf>
    <xf numFmtId="0" fontId="11" fillId="4" borderId="2" xfId="0" applyFont="1" applyFill="1" applyBorder="1" applyAlignment="1">
      <alignment horizontal="center" wrapText="1"/>
    </xf>
    <xf numFmtId="0" fontId="40" fillId="4" borderId="0" xfId="0" applyFont="1" applyFill="1" applyAlignment="1">
      <alignment horizontal="left" vertical="top" indent="4"/>
    </xf>
    <xf numFmtId="9" fontId="11" fillId="0" borderId="2" xfId="0" applyNumberFormat="1" applyFont="1" applyBorder="1" applyAlignment="1">
      <alignment horizontal="center" vertical="top" wrapText="1"/>
    </xf>
    <xf numFmtId="0" fontId="13" fillId="0" borderId="0" xfId="0" applyFont="1"/>
    <xf numFmtId="0" fontId="42" fillId="0" borderId="0" xfId="26"/>
    <xf numFmtId="0" fontId="43" fillId="0" borderId="0" xfId="0" applyFont="1"/>
    <xf numFmtId="0" fontId="0" fillId="0" borderId="0" xfId="0" applyAlignment="1">
      <alignment horizontal="left" indent="1"/>
    </xf>
    <xf numFmtId="6" fontId="0" fillId="0" borderId="0" xfId="0" applyNumberFormat="1"/>
    <xf numFmtId="0" fontId="0" fillId="0" borderId="0" xfId="0" applyAlignment="1">
      <alignment horizontal="left"/>
    </xf>
    <xf numFmtId="0" fontId="45" fillId="4" borderId="0" xfId="0" applyFont="1" applyFill="1"/>
    <xf numFmtId="0" fontId="0" fillId="4" borderId="0" xfId="0" applyFill="1" applyAlignment="1">
      <alignment horizontal="left" indent="2"/>
    </xf>
    <xf numFmtId="0" fontId="14" fillId="12" borderId="0" xfId="0" applyFont="1" applyFill="1"/>
    <xf numFmtId="8" fontId="0" fillId="0" borderId="0" xfId="0" applyNumberFormat="1"/>
    <xf numFmtId="167" fontId="11" fillId="6" borderId="2" xfId="1" applyNumberFormat="1" applyFont="1" applyFill="1" applyBorder="1" applyAlignment="1" applyProtection="1">
      <alignment horizontal="center" vertical="top" wrapText="1"/>
      <protection locked="0"/>
    </xf>
    <xf numFmtId="169" fontId="2" fillId="3" borderId="2" xfId="1" applyNumberFormat="1" applyFont="1" applyFill="1" applyBorder="1" applyAlignment="1" applyProtection="1">
      <alignment horizontal="center" vertical="top" wrapText="1"/>
      <protection locked="0"/>
    </xf>
    <xf numFmtId="1" fontId="2" fillId="3" borderId="2" xfId="1" applyNumberFormat="1" applyFont="1" applyFill="1" applyBorder="1" applyAlignment="1" applyProtection="1">
      <alignment horizontal="center" vertical="top" wrapText="1"/>
      <protection locked="0"/>
    </xf>
    <xf numFmtId="166" fontId="2" fillId="3" borderId="2" xfId="1" applyNumberFormat="1" applyFont="1" applyFill="1" applyBorder="1" applyAlignment="1" applyProtection="1">
      <alignment horizontal="center" vertical="top" wrapText="1"/>
      <protection locked="0"/>
    </xf>
    <xf numFmtId="4" fontId="11" fillId="6" borderId="2" xfId="1" applyNumberFormat="1" applyFont="1" applyFill="1" applyBorder="1" applyAlignment="1" applyProtection="1">
      <alignment horizontal="right" vertical="top" wrapText="1" indent="3"/>
    </xf>
    <xf numFmtId="165" fontId="2" fillId="3" borderId="2" xfId="1" applyNumberFormat="1" applyFont="1" applyFill="1" applyBorder="1" applyAlignment="1" applyProtection="1">
      <alignment horizontal="center" vertical="top" wrapText="1"/>
      <protection locked="0"/>
    </xf>
    <xf numFmtId="9" fontId="2" fillId="3" borderId="2" xfId="1" applyFont="1" applyFill="1" applyBorder="1" applyAlignment="1" applyProtection="1">
      <alignment horizontal="center" vertical="top" wrapText="1"/>
      <protection locked="0"/>
    </xf>
    <xf numFmtId="2" fontId="2" fillId="3" borderId="2" xfId="1" applyNumberFormat="1" applyFont="1" applyFill="1" applyBorder="1" applyAlignment="1" applyProtection="1">
      <alignment horizontal="center" vertical="top" wrapText="1"/>
      <protection locked="0"/>
    </xf>
    <xf numFmtId="4" fontId="2" fillId="3" borderId="2" xfId="1" applyNumberFormat="1" applyFont="1" applyFill="1" applyBorder="1" applyAlignment="1" applyProtection="1">
      <alignment horizontal="center" vertical="top" wrapText="1"/>
      <protection locked="0"/>
    </xf>
    <xf numFmtId="0" fontId="0" fillId="2" borderId="0" xfId="0" applyFill="1" applyProtection="1">
      <protection locked="0"/>
    </xf>
    <xf numFmtId="0" fontId="0" fillId="0" borderId="0" xfId="0" applyProtection="1">
      <protection locked="0"/>
    </xf>
    <xf numFmtId="0" fontId="3" fillId="2" borderId="0" xfId="0" applyFont="1" applyFill="1" applyAlignment="1" applyProtection="1">
      <alignment vertical="center"/>
      <protection locked="0"/>
    </xf>
    <xf numFmtId="0" fontId="0" fillId="4" borderId="0" xfId="0" applyFill="1" applyProtection="1">
      <protection locked="0"/>
    </xf>
    <xf numFmtId="0" fontId="11" fillId="4" borderId="0" xfId="0" applyFont="1" applyFill="1" applyProtection="1">
      <protection locked="0"/>
    </xf>
    <xf numFmtId="0" fontId="16" fillId="4" borderId="12" xfId="0" applyFont="1" applyFill="1" applyBorder="1" applyProtection="1">
      <protection locked="0"/>
    </xf>
    <xf numFmtId="0" fontId="0" fillId="4" borderId="12" xfId="0" applyFill="1" applyBorder="1" applyProtection="1">
      <protection locked="0"/>
    </xf>
    <xf numFmtId="0" fontId="11" fillId="4" borderId="0" xfId="0" applyFont="1" applyFill="1" applyAlignment="1" applyProtection="1">
      <alignment horizontal="left" vertical="top" wrapText="1"/>
      <protection locked="0"/>
    </xf>
    <xf numFmtId="0" fontId="20" fillId="4" borderId="0" xfId="0" applyFont="1" applyFill="1" applyProtection="1">
      <protection locked="0"/>
    </xf>
    <xf numFmtId="0" fontId="35" fillId="4" borderId="0" xfId="0" applyFont="1" applyFill="1" applyProtection="1">
      <protection locked="0"/>
    </xf>
    <xf numFmtId="0" fontId="2" fillId="4" borderId="0" xfId="0" applyFont="1" applyFill="1" applyAlignment="1" applyProtection="1">
      <alignment horizontal="left" vertical="top" wrapText="1"/>
      <protection locked="0"/>
    </xf>
    <xf numFmtId="0" fontId="2" fillId="2" borderId="2" xfId="0" applyFont="1" applyFill="1" applyBorder="1" applyAlignment="1" applyProtection="1">
      <alignment horizontal="left" vertical="center"/>
      <protection locked="0"/>
    </xf>
    <xf numFmtId="0" fontId="19" fillId="4" borderId="0" xfId="0" applyFont="1" applyFill="1" applyAlignment="1" applyProtection="1">
      <alignment horizontal="left" wrapText="1"/>
      <protection locked="0"/>
    </xf>
    <xf numFmtId="0" fontId="19" fillId="4" borderId="0" xfId="0" applyFont="1" applyFill="1" applyAlignment="1" applyProtection="1">
      <alignment horizontal="center" vertical="top" wrapText="1"/>
      <protection locked="0"/>
    </xf>
    <xf numFmtId="0" fontId="11" fillId="4" borderId="0" xfId="0" applyFont="1" applyFill="1" applyAlignment="1" applyProtection="1">
      <alignment vertical="top"/>
      <protection locked="0"/>
    </xf>
    <xf numFmtId="0" fontId="11" fillId="4" borderId="0" xfId="0" applyFont="1" applyFill="1" applyAlignment="1" applyProtection="1">
      <alignment vertical="top" wrapText="1"/>
      <protection locked="0"/>
    </xf>
    <xf numFmtId="0" fontId="36" fillId="4" borderId="0" xfId="0" applyFont="1" applyFill="1" applyAlignment="1" applyProtection="1">
      <alignment horizontal="left" indent="1"/>
      <protection locked="0"/>
    </xf>
    <xf numFmtId="0" fontId="19" fillId="4" borderId="0" xfId="0" applyFont="1" applyFill="1" applyProtection="1">
      <protection locked="0"/>
    </xf>
    <xf numFmtId="0" fontId="13" fillId="4" borderId="0" xfId="0" applyFont="1" applyFill="1" applyAlignment="1" applyProtection="1">
      <alignment horizontal="center" wrapText="1"/>
      <protection locked="0"/>
    </xf>
    <xf numFmtId="0" fontId="19" fillId="4" borderId="0" xfId="0" applyFont="1" applyFill="1" applyAlignment="1" applyProtection="1">
      <alignment horizontal="center" wrapText="1"/>
      <protection locked="0"/>
    </xf>
    <xf numFmtId="0" fontId="38" fillId="4" borderId="0" xfId="0" applyFont="1" applyFill="1" applyAlignment="1" applyProtection="1">
      <alignment horizontal="left" indent="1"/>
      <protection locked="0"/>
    </xf>
    <xf numFmtId="0" fontId="19" fillId="4" borderId="0" xfId="0" applyFont="1" applyFill="1" applyAlignment="1" applyProtection="1">
      <alignment horizontal="left" vertical="center" wrapText="1"/>
      <protection locked="0"/>
    </xf>
    <xf numFmtId="1" fontId="19" fillId="4" borderId="0" xfId="1" applyNumberFormat="1" applyFont="1" applyFill="1" applyBorder="1" applyAlignment="1" applyProtection="1">
      <alignment horizontal="left" indent="1"/>
      <protection locked="0"/>
    </xf>
    <xf numFmtId="0" fontId="11" fillId="4" borderId="0" xfId="0" applyFont="1" applyFill="1" applyAlignment="1" applyProtection="1">
      <alignment horizontal="left" vertical="top"/>
      <protection locked="0"/>
    </xf>
    <xf numFmtId="165" fontId="2" fillId="4" borderId="0" xfId="1" applyNumberFormat="1" applyFont="1" applyFill="1" applyBorder="1" applyAlignment="1" applyProtection="1">
      <alignment horizontal="center" vertical="top" wrapText="1"/>
      <protection locked="0"/>
    </xf>
    <xf numFmtId="1" fontId="2" fillId="4" borderId="0" xfId="1" applyNumberFormat="1" applyFont="1" applyFill="1" applyBorder="1" applyAlignment="1" applyProtection="1">
      <alignment horizontal="center" vertical="top" wrapText="1"/>
      <protection locked="0"/>
    </xf>
    <xf numFmtId="3" fontId="11" fillId="4" borderId="0" xfId="1" applyNumberFormat="1" applyFont="1" applyFill="1" applyBorder="1" applyAlignment="1" applyProtection="1">
      <alignment horizontal="right" vertical="top" wrapText="1" indent="3"/>
      <protection locked="0"/>
    </xf>
    <xf numFmtId="4" fontId="2" fillId="4" borderId="0" xfId="1" applyNumberFormat="1" applyFont="1" applyFill="1" applyBorder="1" applyAlignment="1" applyProtection="1">
      <alignment horizontal="right" vertical="top" wrapText="1" indent="4"/>
      <protection locked="0"/>
    </xf>
    <xf numFmtId="0" fontId="13" fillId="4" borderId="0" xfId="0" applyFont="1" applyFill="1" applyProtection="1">
      <protection locked="0"/>
    </xf>
    <xf numFmtId="9" fontId="13" fillId="4" borderId="0" xfId="1" applyFont="1" applyFill="1" applyAlignment="1" applyProtection="1">
      <alignment horizontal="center"/>
      <protection locked="0"/>
    </xf>
    <xf numFmtId="2" fontId="19" fillId="4" borderId="0" xfId="1" applyNumberFormat="1" applyFont="1" applyFill="1" applyBorder="1" applyAlignment="1" applyProtection="1">
      <alignment horizontal="center" vertical="top" wrapText="1"/>
      <protection locked="0"/>
    </xf>
    <xf numFmtId="0" fontId="0" fillId="4" borderId="0" xfId="0" applyFill="1" applyAlignment="1" applyProtection="1">
      <alignment horizontal="left" indent="1"/>
      <protection locked="0"/>
    </xf>
    <xf numFmtId="0" fontId="11" fillId="4" borderId="0" xfId="0" applyFont="1" applyFill="1" applyAlignment="1" applyProtection="1">
      <alignment horizontal="left" indent="1"/>
      <protection locked="0"/>
    </xf>
    <xf numFmtId="0" fontId="41" fillId="4" borderId="0" xfId="0" applyFont="1" applyFill="1" applyAlignment="1" applyProtection="1">
      <alignment horizontal="left" indent="1"/>
      <protection locked="0"/>
    </xf>
    <xf numFmtId="0" fontId="13" fillId="4" borderId="0" xfId="0" applyFont="1" applyFill="1" applyAlignment="1" applyProtection="1">
      <alignment horizontal="center"/>
      <protection locked="0"/>
    </xf>
    <xf numFmtId="1" fontId="19" fillId="4" borderId="0" xfId="1" applyNumberFormat="1" applyFont="1" applyFill="1" applyBorder="1" applyAlignment="1" applyProtection="1">
      <alignment horizontal="left" vertical="top" indent="1"/>
      <protection locked="0"/>
    </xf>
    <xf numFmtId="0" fontId="0" fillId="4" borderId="0" xfId="0" applyFill="1" applyAlignment="1" applyProtection="1">
      <alignment horizontal="left"/>
      <protection locked="0"/>
    </xf>
    <xf numFmtId="0" fontId="33" fillId="4" borderId="0" xfId="0" applyFont="1" applyFill="1" applyProtection="1">
      <protection locked="0"/>
    </xf>
    <xf numFmtId="0" fontId="11" fillId="4" borderId="0" xfId="0" applyFont="1" applyFill="1" applyAlignment="1" applyProtection="1">
      <alignment horizontal="left"/>
      <protection locked="0"/>
    </xf>
    <xf numFmtId="0" fontId="13" fillId="4" borderId="0" xfId="0" applyFont="1" applyFill="1" applyAlignment="1" applyProtection="1">
      <alignment wrapText="1"/>
      <protection locked="0"/>
    </xf>
    <xf numFmtId="0" fontId="13" fillId="11" borderId="9" xfId="0" applyFont="1" applyFill="1" applyBorder="1" applyAlignment="1" applyProtection="1">
      <alignment horizontal="center" wrapText="1"/>
      <protection locked="0"/>
    </xf>
    <xf numFmtId="0" fontId="13" fillId="10" borderId="9" xfId="0" applyFont="1" applyFill="1" applyBorder="1" applyAlignment="1" applyProtection="1">
      <alignment horizontal="center"/>
      <protection locked="0"/>
    </xf>
    <xf numFmtId="0" fontId="13" fillId="0" borderId="0" xfId="0" applyFont="1" applyAlignment="1" applyProtection="1">
      <alignment horizontal="center"/>
      <protection locked="0"/>
    </xf>
    <xf numFmtId="0" fontId="16" fillId="4" borderId="0" xfId="0" applyFont="1" applyFill="1" applyProtection="1">
      <protection locked="0"/>
    </xf>
    <xf numFmtId="0" fontId="14" fillId="4" borderId="0" xfId="0" applyFont="1" applyFill="1" applyProtection="1">
      <protection locked="0"/>
    </xf>
    <xf numFmtId="0" fontId="34" fillId="4" borderId="0" xfId="0" applyFont="1" applyFill="1" applyProtection="1">
      <protection locked="0"/>
    </xf>
    <xf numFmtId="167" fontId="11" fillId="6" borderId="2" xfId="1" applyNumberFormat="1" applyFont="1" applyFill="1" applyBorder="1" applyAlignment="1" applyProtection="1">
      <alignment horizontal="center" vertical="top" wrapText="1"/>
    </xf>
    <xf numFmtId="4" fontId="11" fillId="6" borderId="2" xfId="1" applyNumberFormat="1" applyFont="1" applyFill="1" applyBorder="1" applyAlignment="1" applyProtection="1">
      <alignment horizontal="center" vertical="top" wrapText="1"/>
    </xf>
    <xf numFmtId="167" fontId="11" fillId="6" borderId="2" xfId="1" applyNumberFormat="1" applyFont="1" applyFill="1" applyBorder="1" applyAlignment="1" applyProtection="1">
      <alignment horizontal="right" vertical="top" wrapText="1" indent="4"/>
    </xf>
    <xf numFmtId="4" fontId="2" fillId="9" borderId="2" xfId="1" applyNumberFormat="1" applyFont="1" applyFill="1" applyBorder="1" applyAlignment="1" applyProtection="1">
      <alignment horizontal="right" vertical="top" wrapText="1" indent="3"/>
    </xf>
    <xf numFmtId="167" fontId="11" fillId="6" borderId="2" xfId="1" applyNumberFormat="1" applyFont="1" applyFill="1" applyBorder="1" applyAlignment="1" applyProtection="1">
      <alignment horizontal="right" vertical="top" wrapText="1" indent="3"/>
    </xf>
    <xf numFmtId="4" fontId="2" fillId="9" borderId="2" xfId="1" applyNumberFormat="1" applyFont="1" applyFill="1" applyBorder="1" applyAlignment="1" applyProtection="1">
      <alignment horizontal="right" vertical="top" wrapText="1" indent="4"/>
    </xf>
    <xf numFmtId="9" fontId="11" fillId="6" borderId="2" xfId="1" applyFont="1" applyFill="1" applyBorder="1" applyAlignment="1" applyProtection="1">
      <alignment horizontal="center" vertical="top" wrapText="1"/>
    </xf>
    <xf numFmtId="2" fontId="2" fillId="9" borderId="2" xfId="1" applyNumberFormat="1" applyFont="1" applyFill="1" applyBorder="1" applyAlignment="1" applyProtection="1">
      <alignment horizontal="center" vertical="top" wrapText="1"/>
    </xf>
    <xf numFmtId="3" fontId="2" fillId="9" borderId="2" xfId="1" applyNumberFormat="1" applyFont="1" applyFill="1" applyBorder="1" applyAlignment="1" applyProtection="1">
      <alignment horizontal="center" vertical="top" wrapText="1"/>
    </xf>
    <xf numFmtId="4" fontId="2" fillId="9" borderId="2" xfId="1" applyNumberFormat="1" applyFont="1" applyFill="1" applyBorder="1" applyAlignment="1" applyProtection="1">
      <alignment horizontal="center" vertical="top" wrapText="1"/>
    </xf>
    <xf numFmtId="9" fontId="11" fillId="4" borderId="5" xfId="1" applyFont="1" applyFill="1" applyBorder="1" applyAlignment="1" applyProtection="1">
      <alignment horizontal="center" vertical="top" wrapText="1"/>
    </xf>
    <xf numFmtId="9" fontId="0" fillId="4" borderId="0" xfId="0" applyNumberFormat="1" applyFill="1" applyProtection="1">
      <protection locked="0"/>
    </xf>
    <xf numFmtId="0" fontId="19" fillId="4" borderId="0" xfId="0" applyFont="1" applyFill="1" applyAlignment="1" applyProtection="1">
      <alignment wrapText="1"/>
      <protection locked="0"/>
    </xf>
    <xf numFmtId="1" fontId="2" fillId="3" borderId="2" xfId="1" applyNumberFormat="1" applyFont="1" applyFill="1" applyBorder="1" applyAlignment="1" applyProtection="1">
      <alignment horizontal="center" vertical="center" wrapText="1"/>
      <protection locked="0"/>
    </xf>
    <xf numFmtId="0" fontId="19" fillId="4" borderId="0" xfId="0" applyFont="1" applyFill="1" applyAlignment="1" applyProtection="1">
      <alignment horizontal="left" vertical="top" wrapText="1"/>
      <protection locked="0"/>
    </xf>
    <xf numFmtId="0" fontId="46" fillId="4" borderId="0" xfId="0" applyFont="1" applyFill="1" applyProtection="1">
      <protection locked="0"/>
    </xf>
    <xf numFmtId="3" fontId="11" fillId="6" borderId="2" xfId="1" applyNumberFormat="1" applyFont="1" applyFill="1" applyBorder="1" applyAlignment="1" applyProtection="1">
      <alignment horizontal="center" vertical="top" wrapText="1"/>
    </xf>
    <xf numFmtId="2" fontId="11" fillId="6" borderId="2" xfId="1" applyNumberFormat="1" applyFont="1" applyFill="1" applyBorder="1" applyAlignment="1" applyProtection="1">
      <alignment horizontal="center" vertical="top" wrapText="1"/>
    </xf>
    <xf numFmtId="170" fontId="0" fillId="4" borderId="0" xfId="0" applyNumberFormat="1" applyFill="1" applyAlignment="1">
      <alignment horizontal="center"/>
    </xf>
    <xf numFmtId="2" fontId="2" fillId="4" borderId="0" xfId="1" applyNumberFormat="1" applyFont="1" applyFill="1" applyBorder="1" applyAlignment="1">
      <alignment horizontal="right" vertical="top" wrapText="1" indent="1"/>
    </xf>
    <xf numFmtId="2" fontId="2" fillId="4" borderId="4" xfId="1" applyNumberFormat="1" applyFont="1" applyFill="1" applyBorder="1" applyAlignment="1">
      <alignment horizontal="center" vertical="top" wrapText="1"/>
    </xf>
    <xf numFmtId="1" fontId="2" fillId="4" borderId="0" xfId="1" applyNumberFormat="1" applyFont="1" applyFill="1" applyBorder="1" applyAlignment="1">
      <alignment horizontal="right" vertical="top" wrapText="1" indent="1"/>
    </xf>
    <xf numFmtId="2" fontId="19" fillId="4" borderId="0" xfId="1" applyNumberFormat="1" applyFont="1" applyFill="1" applyBorder="1" applyAlignment="1">
      <alignment vertical="top" wrapText="1"/>
    </xf>
    <xf numFmtId="2" fontId="11" fillId="6" borderId="2" xfId="1" applyNumberFormat="1" applyFont="1" applyFill="1" applyBorder="1" applyAlignment="1">
      <alignment horizontal="center" vertical="top" wrapText="1"/>
    </xf>
    <xf numFmtId="0" fontId="34" fillId="4" borderId="0" xfId="0" applyFont="1" applyFill="1" applyAlignment="1" applyProtection="1">
      <alignment horizontal="left" indent="1"/>
      <protection locked="0"/>
    </xf>
    <xf numFmtId="0" fontId="18" fillId="4" borderId="0" xfId="0" applyFont="1" applyFill="1"/>
    <xf numFmtId="0" fontId="48" fillId="4" borderId="0" xfId="0" applyFont="1" applyFill="1"/>
    <xf numFmtId="0" fontId="40" fillId="4" borderId="0" xfId="0" applyFont="1" applyFill="1" applyAlignment="1">
      <alignment horizontal="left" vertical="top" wrapText="1"/>
    </xf>
    <xf numFmtId="4" fontId="2" fillId="9" borderId="2" xfId="1" applyNumberFormat="1" applyFont="1" applyFill="1" applyBorder="1" applyAlignment="1">
      <alignment horizontal="center" vertical="top" wrapText="1"/>
    </xf>
    <xf numFmtId="4" fontId="11" fillId="6" borderId="2" xfId="1" applyNumberFormat="1" applyFont="1" applyFill="1" applyBorder="1" applyAlignment="1">
      <alignment horizontal="center" vertical="top" wrapText="1"/>
    </xf>
    <xf numFmtId="4" fontId="47" fillId="6" borderId="2" xfId="1" applyNumberFormat="1" applyFont="1" applyFill="1" applyBorder="1" applyAlignment="1" applyProtection="1">
      <alignment horizontal="center" vertical="top" wrapText="1"/>
    </xf>
    <xf numFmtId="0" fontId="0" fillId="4" borderId="0" xfId="0" applyFill="1" applyAlignment="1" applyProtection="1">
      <alignment horizontal="center"/>
      <protection locked="0"/>
    </xf>
    <xf numFmtId="1" fontId="19" fillId="4" borderId="0" xfId="1" applyNumberFormat="1" applyFont="1" applyFill="1" applyBorder="1" applyAlignment="1">
      <alignment horizontal="center"/>
    </xf>
    <xf numFmtId="2" fontId="2" fillId="4" borderId="0" xfId="1" applyNumberFormat="1" applyFont="1" applyFill="1" applyBorder="1" applyAlignment="1">
      <alignment horizontal="center" vertical="top" wrapText="1"/>
    </xf>
    <xf numFmtId="0" fontId="11" fillId="4" borderId="0" xfId="0" applyFont="1" applyFill="1" applyAlignment="1">
      <alignment horizontal="center"/>
    </xf>
    <xf numFmtId="0" fontId="0" fillId="4" borderId="0" xfId="0" applyFill="1" applyAlignment="1">
      <alignment horizontal="center"/>
    </xf>
    <xf numFmtId="0" fontId="14" fillId="4" borderId="0" xfId="0" applyFont="1" applyFill="1" applyAlignment="1" applyProtection="1">
      <alignment horizontal="center"/>
      <protection locked="0"/>
    </xf>
    <xf numFmtId="0" fontId="49" fillId="4" borderId="0" xfId="0" applyFont="1" applyFill="1" applyProtection="1">
      <protection locked="0"/>
    </xf>
    <xf numFmtId="0" fontId="34" fillId="4" borderId="0" xfId="0" applyFont="1" applyFill="1"/>
    <xf numFmtId="0" fontId="34" fillId="4" borderId="0" xfId="0" applyFont="1" applyFill="1" applyAlignment="1" applyProtection="1">
      <alignment horizontal="left" vertical="top" indent="1"/>
      <protection locked="0"/>
    </xf>
    <xf numFmtId="0" fontId="33" fillId="4" borderId="0" xfId="0" applyFont="1" applyFill="1" applyAlignment="1">
      <alignment horizontal="left" indent="1"/>
    </xf>
    <xf numFmtId="4" fontId="0" fillId="4" borderId="0" xfId="0" applyNumberFormat="1" applyFill="1" applyProtection="1">
      <protection locked="0"/>
    </xf>
    <xf numFmtId="167" fontId="11" fillId="4" borderId="0" xfId="0" applyNumberFormat="1" applyFont="1" applyFill="1" applyAlignment="1" applyProtection="1">
      <alignment horizontal="left" vertical="top" wrapText="1"/>
      <protection locked="0"/>
    </xf>
    <xf numFmtId="170" fontId="2" fillId="3" borderId="2" xfId="1" applyNumberFormat="1" applyFont="1" applyFill="1" applyBorder="1" applyAlignment="1" applyProtection="1">
      <alignment horizontal="center" vertical="top" wrapText="1"/>
      <protection locked="0"/>
    </xf>
    <xf numFmtId="17" fontId="0" fillId="4" borderId="0" xfId="0" applyNumberFormat="1" applyFill="1"/>
    <xf numFmtId="4" fontId="34" fillId="4" borderId="0" xfId="0" applyNumberFormat="1" applyFont="1" applyFill="1" applyAlignment="1" applyProtection="1">
      <alignment horizontal="left" vertical="top"/>
      <protection locked="0"/>
    </xf>
    <xf numFmtId="166" fontId="11" fillId="0" borderId="2" xfId="1" applyNumberFormat="1" applyFont="1" applyFill="1" applyBorder="1" applyAlignment="1">
      <alignment horizontal="center" vertical="center" wrapText="1"/>
    </xf>
    <xf numFmtId="166" fontId="11" fillId="4" borderId="0" xfId="1" applyNumberFormat="1" applyFont="1" applyFill="1" applyBorder="1" applyAlignment="1">
      <alignment horizontal="left"/>
    </xf>
    <xf numFmtId="0" fontId="0" fillId="4" borderId="0" xfId="0" applyFill="1" applyAlignment="1">
      <alignment horizontal="center" vertical="center" wrapText="1"/>
    </xf>
    <xf numFmtId="171" fontId="11" fillId="4" borderId="2" xfId="1" applyNumberFormat="1" applyFont="1" applyFill="1" applyBorder="1" applyAlignment="1">
      <alignment horizontal="center" vertical="top" wrapText="1"/>
    </xf>
    <xf numFmtId="171" fontId="0" fillId="4" borderId="0" xfId="0" applyNumberFormat="1" applyFill="1"/>
    <xf numFmtId="166" fontId="0" fillId="4" borderId="0" xfId="0" applyNumberFormat="1" applyFill="1" applyAlignment="1">
      <alignment horizontal="center"/>
    </xf>
    <xf numFmtId="166" fontId="11" fillId="4" borderId="2" xfId="1" applyNumberFormat="1" applyFont="1" applyFill="1" applyBorder="1" applyAlignment="1">
      <alignment horizontal="center" vertical="center" wrapText="1"/>
    </xf>
    <xf numFmtId="172" fontId="11" fillId="4" borderId="2" xfId="27" applyNumberFormat="1" applyFont="1" applyFill="1" applyBorder="1" applyAlignment="1">
      <alignment horizontal="center" vertical="top" wrapText="1"/>
    </xf>
    <xf numFmtId="170" fontId="0" fillId="4" borderId="0" xfId="0" applyNumberFormat="1" applyFill="1"/>
    <xf numFmtId="4" fontId="2" fillId="3" borderId="2" xfId="1" applyNumberFormat="1" applyFont="1" applyFill="1" applyBorder="1" applyAlignment="1">
      <alignment horizontal="center" vertical="top" wrapText="1"/>
    </xf>
    <xf numFmtId="0" fontId="33" fillId="4" borderId="0" xfId="0" applyFont="1" applyFill="1"/>
    <xf numFmtId="0" fontId="42" fillId="4" borderId="0" xfId="26" applyFill="1"/>
    <xf numFmtId="0" fontId="34" fillId="4" borderId="0" xfId="0" applyFont="1" applyFill="1" applyAlignment="1">
      <alignment horizontal="left" indent="1"/>
    </xf>
    <xf numFmtId="0" fontId="40" fillId="4" borderId="0" xfId="0" applyFont="1" applyFill="1" applyAlignment="1">
      <alignment horizontal="left" vertical="top" wrapText="1"/>
    </xf>
    <xf numFmtId="0" fontId="5" fillId="4" borderId="0" xfId="0" applyFont="1" applyFill="1" applyAlignment="1">
      <alignment horizontal="left" vertical="top" wrapText="1"/>
    </xf>
    <xf numFmtId="0" fontId="10" fillId="4" borderId="0" xfId="0" applyFont="1" applyFill="1" applyAlignment="1">
      <alignment horizontal="left" vertical="top" wrapText="1"/>
    </xf>
    <xf numFmtId="0" fontId="51" fillId="2" borderId="0" xfId="0" applyFont="1" applyFill="1" applyAlignment="1">
      <alignment horizontal="left" vertical="top" wrapText="1"/>
    </xf>
    <xf numFmtId="0" fontId="9" fillId="4" borderId="0" xfId="2" applyFont="1" applyFill="1" applyAlignment="1">
      <alignment horizontal="left" vertical="top" wrapText="1"/>
    </xf>
    <xf numFmtId="0" fontId="13" fillId="4" borderId="14" xfId="0" applyFont="1" applyFill="1" applyBorder="1" applyAlignment="1" applyProtection="1">
      <alignment horizontal="center"/>
      <protection locked="0"/>
    </xf>
    <xf numFmtId="0" fontId="13" fillId="10" borderId="9" xfId="0" applyFont="1" applyFill="1" applyBorder="1" applyAlignment="1" applyProtection="1">
      <alignment horizontal="center" wrapText="1"/>
      <protection locked="0"/>
    </xf>
    <xf numFmtId="0" fontId="13" fillId="4" borderId="0" xfId="0" applyFont="1" applyFill="1" applyAlignment="1" applyProtection="1">
      <alignment horizontal="center" wrapText="1"/>
      <protection locked="0"/>
    </xf>
    <xf numFmtId="0" fontId="34" fillId="4" borderId="6" xfId="0" applyFont="1" applyFill="1" applyBorder="1" applyAlignment="1" applyProtection="1">
      <alignment horizontal="left" vertical="center" wrapText="1"/>
      <protection locked="0"/>
    </xf>
    <xf numFmtId="0" fontId="34" fillId="4" borderId="0" xfId="0" applyFont="1" applyFill="1" applyAlignment="1" applyProtection="1">
      <alignment horizontal="left" vertical="center" wrapText="1"/>
      <protection locked="0"/>
    </xf>
    <xf numFmtId="0" fontId="11" fillId="4" borderId="2" xfId="0" applyFont="1" applyFill="1" applyBorder="1" applyAlignment="1">
      <alignment horizontal="left" vertical="center" wrapText="1"/>
    </xf>
    <xf numFmtId="0" fontId="19" fillId="4" borderId="14" xfId="0" applyFont="1" applyFill="1" applyBorder="1" applyAlignment="1" applyProtection="1">
      <alignment horizontal="center" vertical="top" wrapText="1"/>
      <protection locked="0"/>
    </xf>
    <xf numFmtId="0" fontId="19" fillId="4" borderId="0" xfId="0" applyFont="1" applyFill="1" applyAlignment="1" applyProtection="1">
      <alignment horizontal="center" vertical="top" wrapText="1"/>
      <protection locked="0"/>
    </xf>
  </cellXfs>
  <cellStyles count="28">
    <cellStyle name="Body_text" xfId="17" xr:uid="{BB7E356A-7FF3-447A-B4D4-60271662D528}"/>
    <cellStyle name="Comma" xfId="27" builtinId="3"/>
    <cellStyle name="Comma 2" xfId="7" xr:uid="{00000000-0005-0000-0000-000001000000}"/>
    <cellStyle name="Comma 2 11" xfId="10" xr:uid="{160F7CD8-E2D3-41D7-8D17-B6A34426E51D}"/>
    <cellStyle name="Currency 2" xfId="3" xr:uid="{00000000-0005-0000-0000-000003000000}"/>
    <cellStyle name="Currency 3" xfId="5" xr:uid="{00000000-0005-0000-0000-000004000000}"/>
    <cellStyle name="Figure_title" xfId="18" xr:uid="{CAD521B5-7431-4ED7-9609-AFF9A9626424}"/>
    <cellStyle name="Followed Hyperlink 2" xfId="23" xr:uid="{62005429-37DA-43E7-A4A8-C7B83509DBE7}"/>
    <cellStyle name="Header_row" xfId="19" xr:uid="{07435828-5F61-449D-9618-D11529924AD7}"/>
    <cellStyle name="Heading 1 2" xfId="13" xr:uid="{8C30A27C-1800-400B-A69B-DB97D2053F4A}"/>
    <cellStyle name="Heading 2 2" xfId="14" xr:uid="{E29D5006-1B26-413A-9C5F-1488481D3790}"/>
    <cellStyle name="Heading 3 2" xfId="15" xr:uid="{0C27D14E-C8A5-4A0C-B835-CA8B5CAD998A}"/>
    <cellStyle name="Heading 4 2" xfId="16" xr:uid="{4B214B98-26B0-4553-8106-507C9B98A18B}"/>
    <cellStyle name="Hyperlink" xfId="26" builtinId="8"/>
    <cellStyle name="Hyperlink 2" xfId="25" xr:uid="{8FD55999-218E-4602-B87B-712A9DA08EA6}"/>
    <cellStyle name="Hyperlink 3" xfId="12" xr:uid="{710CB949-C242-4674-958E-DB725DF671B9}"/>
    <cellStyle name="Normal" xfId="0" builtinId="0"/>
    <cellStyle name="Normal 10" xfId="2" xr:uid="{00000000-0005-0000-0000-000007000000}"/>
    <cellStyle name="Normal 2" xfId="6" xr:uid="{00000000-0005-0000-0000-000008000000}"/>
    <cellStyle name="Normal 2 2" xfId="4" xr:uid="{00000000-0005-0000-0000-000009000000}"/>
    <cellStyle name="Normal 2 58" xfId="9" xr:uid="{C24115F5-332F-43F3-AA73-982F3108B401}"/>
    <cellStyle name="Normal 3" xfId="11" xr:uid="{7AD03480-95A7-4D03-8CB9-497D7A7B49BF}"/>
    <cellStyle name="Notes_sources" xfId="20" xr:uid="{02C9EACD-65FE-4FFD-BDFC-14911EF22A8D}"/>
    <cellStyle name="Percent" xfId="1" builtinId="5"/>
    <cellStyle name="Percent 2" xfId="8" xr:uid="{00000000-0005-0000-0000-00000B000000}"/>
    <cellStyle name="Percent 3" xfId="24" xr:uid="{FD703414-D910-4B55-84C7-6302F90E9666}"/>
    <cellStyle name="Sub_row" xfId="21" xr:uid="{ABC1DA41-8746-4DE4-9CDD-7BE324C56796}"/>
    <cellStyle name="Table_title" xfId="22" xr:uid="{9E6C81EE-6214-498C-A4D4-1016FA902D19}"/>
  </cellStyles>
  <dxfs count="3">
    <dxf>
      <font>
        <color rgb="FFFF0000"/>
      </font>
      <fill>
        <patternFill>
          <bgColor rgb="FFFFFF00"/>
        </patternFill>
      </fill>
    </dxf>
    <dxf>
      <fill>
        <patternFill>
          <bgColor rgb="FF964B8F"/>
        </patternFill>
      </fill>
    </dxf>
    <dxf>
      <font>
        <color rgb="FFFF0000"/>
      </font>
      <fill>
        <patternFill>
          <bgColor rgb="FFFFFF00"/>
        </patternFill>
      </fill>
    </dxf>
  </dxfs>
  <tableStyles count="0" defaultTableStyle="TableStyleMedium2" defaultPivotStyle="PivotStyleLight16"/>
  <colors>
    <mruColors>
      <color rgb="FF00905B"/>
      <color rgb="FFAFABAB"/>
      <color rgb="FFFF00FF"/>
      <color rgb="FF962389"/>
      <color rgb="FFE6E7E8"/>
      <color rgb="FF964B8F"/>
      <color rgb="FFBAA102"/>
      <color rgb="FF905BFF"/>
      <color rgb="FF0D926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1.xml"/></Relationships>
</file>

<file path=xl/ctrlProps/ctrlProp1.xml><?xml version="1.0" encoding="utf-8"?>
<formControlPr xmlns="http://schemas.microsoft.com/office/spreadsheetml/2009/9/main" objectType="Drop" dropLines="92" dropStyle="combo" dx="26" fmlaLink="List!$B$15" fmlaRange="List!$B$10:$B$14" sel="4" val="0"/>
</file>

<file path=xl/ctrlProps/ctrlProp10.xml><?xml version="1.0" encoding="utf-8"?>
<formControlPr xmlns="http://schemas.microsoft.com/office/spreadsheetml/2009/9/main" objectType="CheckBox" checked="Checked" fmlaLink="List!$G$13" lockText="1" noThreeD="1"/>
</file>

<file path=xl/ctrlProps/ctrlProp11.xml><?xml version="1.0" encoding="utf-8"?>
<formControlPr xmlns="http://schemas.microsoft.com/office/spreadsheetml/2009/9/main" objectType="CheckBox" checked="Checked" fmlaLink="List!$G$14" lockText="1" noThreeD="1"/>
</file>

<file path=xl/ctrlProps/ctrlProp12.xml><?xml version="1.0" encoding="utf-8"?>
<formControlPr xmlns="http://schemas.microsoft.com/office/spreadsheetml/2009/9/main" objectType="CheckBox" checked="Checked" fmlaLink="List!$G$15" lockText="1" noThreeD="1"/>
</file>

<file path=xl/ctrlProps/ctrlProp13.xml><?xml version="1.0" encoding="utf-8"?>
<formControlPr xmlns="http://schemas.microsoft.com/office/spreadsheetml/2009/9/main" objectType="Drop" dropLines="92" dropStyle="combo" dx="26" fmlaLink="List!$G$5" fmlaRange="List!$G$3:$G$4" sel="1" val="0"/>
</file>

<file path=xl/ctrlProps/ctrlProp14.xml><?xml version="1.0" encoding="utf-8"?>
<formControlPr xmlns="http://schemas.microsoft.com/office/spreadsheetml/2009/9/main" objectType="Drop" dropLines="92" dropStyle="combo" dx="26" fmlaLink="List!$B$15" fmlaRange="List!$B$10:$B$14" sel="4" val="0"/>
</file>

<file path=xl/ctrlProps/ctrlProp15.xml><?xml version="1.0" encoding="utf-8"?>
<formControlPr xmlns="http://schemas.microsoft.com/office/spreadsheetml/2009/9/main" objectType="CheckBox" checked="Checked" fmlaLink="List!$G$16" lockText="1" noThreeD="1"/>
</file>

<file path=xl/ctrlProps/ctrlProp16.xml><?xml version="1.0" encoding="utf-8"?>
<formControlPr xmlns="http://schemas.microsoft.com/office/spreadsheetml/2009/9/main" objectType="CheckBox" checked="Checked" fmlaLink="List!$G$16" lockText="1" noThreeD="1"/>
</file>

<file path=xl/ctrlProps/ctrlProp17.xml><?xml version="1.0" encoding="utf-8"?>
<formControlPr xmlns="http://schemas.microsoft.com/office/spreadsheetml/2009/9/main" objectType="Drop" dropLines="92" dropStyle="combo" dx="26" fmlaLink="List!$B$15" fmlaRange="List!$B$10:$B$14" sel="4" val="0"/>
</file>

<file path=xl/ctrlProps/ctrlProp18.xml><?xml version="1.0" encoding="utf-8"?>
<formControlPr xmlns="http://schemas.microsoft.com/office/spreadsheetml/2009/9/main" objectType="Drop" dropLines="92" dropStyle="combo" dx="26" fmlaLink="List!$B$15" fmlaRange="List!$B$10:$B$14" sel="4" val="0"/>
</file>

<file path=xl/ctrlProps/ctrlProp19.xml><?xml version="1.0" encoding="utf-8"?>
<formControlPr xmlns="http://schemas.microsoft.com/office/spreadsheetml/2009/9/main" objectType="Drop" dropLines="92" dropStyle="combo" dx="26" fmlaLink="List!$B$15" fmlaRange="List!$B$10:$B$14" sel="4" val="0"/>
</file>

<file path=xl/ctrlProps/ctrlProp2.xml><?xml version="1.0" encoding="utf-8"?>
<formControlPr xmlns="http://schemas.microsoft.com/office/spreadsheetml/2009/9/main" objectType="Drop" dropLines="92" dropStyle="combo" dx="26" fmlaLink="List!$B$15" fmlaRange="List!$B$10:$B$14" sel="4" val="0"/>
</file>

<file path=xl/ctrlProps/ctrlProp20.xml><?xml version="1.0" encoding="utf-8"?>
<formControlPr xmlns="http://schemas.microsoft.com/office/spreadsheetml/2009/9/main" objectType="Drop" dropLines="92" dropStyle="combo" dx="26" fmlaLink="List!$B$15" fmlaRange="List!$B$10:$B$14" sel="4" val="0"/>
</file>

<file path=xl/ctrlProps/ctrlProp21.xml><?xml version="1.0" encoding="utf-8"?>
<formControlPr xmlns="http://schemas.microsoft.com/office/spreadsheetml/2009/9/main" objectType="CheckBox" fmlaLink="List!$G$10" lockText="1" noThreeD="1"/>
</file>

<file path=xl/ctrlProps/ctrlProp22.xml><?xml version="1.0" encoding="utf-8"?>
<formControlPr xmlns="http://schemas.microsoft.com/office/spreadsheetml/2009/9/main" objectType="CheckBox" checked="Checked" fmlaLink="List!$G$11" lockText="1" noThreeD="1"/>
</file>

<file path=xl/ctrlProps/ctrlProp23.xml><?xml version="1.0" encoding="utf-8"?>
<formControlPr xmlns="http://schemas.microsoft.com/office/spreadsheetml/2009/9/main" objectType="CheckBox" checked="Checked" fmlaLink="List!$G$12" lockText="1" noThreeD="1"/>
</file>

<file path=xl/ctrlProps/ctrlProp24.xml><?xml version="1.0" encoding="utf-8"?>
<formControlPr xmlns="http://schemas.microsoft.com/office/spreadsheetml/2009/9/main" objectType="CheckBox" checked="Checked" fmlaLink="List!$G$13" lockText="1" noThreeD="1"/>
</file>

<file path=xl/ctrlProps/ctrlProp25.xml><?xml version="1.0" encoding="utf-8"?>
<formControlPr xmlns="http://schemas.microsoft.com/office/spreadsheetml/2009/9/main" objectType="CheckBox" checked="Checked" fmlaLink="List!$G$14" lockText="1" noThreeD="1"/>
</file>

<file path=xl/ctrlProps/ctrlProp26.xml><?xml version="1.0" encoding="utf-8"?>
<formControlPr xmlns="http://schemas.microsoft.com/office/spreadsheetml/2009/9/main" objectType="CheckBox" checked="Checked" fmlaLink="List!$G$15" lockText="1" noThreeD="1"/>
</file>

<file path=xl/ctrlProps/ctrlProp27.xml><?xml version="1.0" encoding="utf-8"?>
<formControlPr xmlns="http://schemas.microsoft.com/office/spreadsheetml/2009/9/main" objectType="Drop" dropLines="92" dropStyle="combo" dx="26" fmlaLink="List!$B$15" fmlaRange="List!$B$10:$B$14" sel="4" val="0"/>
</file>

<file path=xl/ctrlProps/ctrlProp3.xml><?xml version="1.0" encoding="utf-8"?>
<formControlPr xmlns="http://schemas.microsoft.com/office/spreadsheetml/2009/9/main" objectType="Drop" dropLines="92" dropStyle="combo" dx="26" fmlaLink="List!$B$15" fmlaRange="List!$B$10:$B$14" sel="4" val="0"/>
</file>

<file path=xl/ctrlProps/ctrlProp4.xml><?xml version="1.0" encoding="utf-8"?>
<formControlPr xmlns="http://schemas.microsoft.com/office/spreadsheetml/2009/9/main" objectType="Drop" dropLines="92" dropStyle="combo" dx="26" fmlaLink="List!$B$15" fmlaRange="List!$B$10:$B$14" sel="4" val="0"/>
</file>

<file path=xl/ctrlProps/ctrlProp5.xml><?xml version="1.0" encoding="utf-8"?>
<formControlPr xmlns="http://schemas.microsoft.com/office/spreadsheetml/2009/9/main" objectType="Drop" dropLines="92" dropStyle="combo" dx="26" fmlaLink="List!$B$15" fmlaRange="List!$B$10:$B$14" sel="4" val="0"/>
</file>

<file path=xl/ctrlProps/ctrlProp6.xml><?xml version="1.0" encoding="utf-8"?>
<formControlPr xmlns="http://schemas.microsoft.com/office/spreadsheetml/2009/9/main" objectType="Drop" dropLines="92" dropStyle="combo" dx="26" fmlaLink="List!$B$15" fmlaRange="List!$B$10:$B$14" sel="4" val="0"/>
</file>

<file path=xl/ctrlProps/ctrlProp7.xml><?xml version="1.0" encoding="utf-8"?>
<formControlPr xmlns="http://schemas.microsoft.com/office/spreadsheetml/2009/9/main" objectType="CheckBox" fmlaLink="List!$G$10" lockText="1" noThreeD="1"/>
</file>

<file path=xl/ctrlProps/ctrlProp8.xml><?xml version="1.0" encoding="utf-8"?>
<formControlPr xmlns="http://schemas.microsoft.com/office/spreadsheetml/2009/9/main" objectType="CheckBox" checked="Checked" fmlaLink="List!$G$11" lockText="1" noThreeD="1"/>
</file>

<file path=xl/ctrlProps/ctrlProp9.xml><?xml version="1.0" encoding="utf-8"?>
<formControlPr xmlns="http://schemas.microsoft.com/office/spreadsheetml/2009/9/main" objectType="CheckBox" checked="Checked" fmlaLink="List!$G$12"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14</xdr:row>
      <xdr:rowOff>0</xdr:rowOff>
    </xdr:from>
    <xdr:to>
      <xdr:col>7</xdr:col>
      <xdr:colOff>304800</xdr:colOff>
      <xdr:row>15</xdr:row>
      <xdr:rowOff>113030</xdr:rowOff>
    </xdr:to>
    <xdr:sp macro="" textlink="">
      <xdr:nvSpPr>
        <xdr:cNvPr id="4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000-000029000000}"/>
            </a:ext>
          </a:extLst>
        </xdr:cNvPr>
        <xdr:cNvSpPr>
          <a:spLocks noChangeAspect="1" noChangeArrowheads="1"/>
        </xdr:cNvSpPr>
      </xdr:nvSpPr>
      <xdr:spPr bwMode="auto">
        <a:xfrm>
          <a:off x="4451350" y="4559300"/>
          <a:ext cx="304800" cy="298450"/>
        </a:xfrm>
        <a:prstGeom prst="rect">
          <a:avLst/>
        </a:prstGeom>
        <a:noFill/>
      </xdr:spPr>
    </xdr:sp>
    <xdr:clientData/>
  </xdr:twoCellAnchor>
  <xdr:twoCellAnchor editAs="oneCell">
    <xdr:from>
      <xdr:col>7</xdr:col>
      <xdr:colOff>0</xdr:colOff>
      <xdr:row>14</xdr:row>
      <xdr:rowOff>0</xdr:rowOff>
    </xdr:from>
    <xdr:to>
      <xdr:col>7</xdr:col>
      <xdr:colOff>304800</xdr:colOff>
      <xdr:row>15</xdr:row>
      <xdr:rowOff>113030</xdr:rowOff>
    </xdr:to>
    <xdr:sp macro="" textlink="">
      <xdr:nvSpPr>
        <xdr:cNvPr id="4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000-00002A000000}"/>
            </a:ext>
          </a:extLst>
        </xdr:cNvPr>
        <xdr:cNvSpPr>
          <a:spLocks noChangeAspect="1" noChangeArrowheads="1"/>
        </xdr:cNvSpPr>
      </xdr:nvSpPr>
      <xdr:spPr bwMode="auto">
        <a:xfrm>
          <a:off x="4451350" y="4559300"/>
          <a:ext cx="304800" cy="298450"/>
        </a:xfrm>
        <a:prstGeom prst="rect">
          <a:avLst/>
        </a:prstGeom>
        <a:noFill/>
      </xdr:spPr>
    </xdr:sp>
    <xdr:clientData/>
  </xdr:twoCellAnchor>
  <xdr:twoCellAnchor>
    <xdr:from>
      <xdr:col>0</xdr:col>
      <xdr:colOff>0</xdr:colOff>
      <xdr:row>0</xdr:row>
      <xdr:rowOff>0</xdr:rowOff>
    </xdr:from>
    <xdr:to>
      <xdr:col>2</xdr:col>
      <xdr:colOff>646430</xdr:colOff>
      <xdr:row>10</xdr:row>
      <xdr:rowOff>106915</xdr:rowOff>
    </xdr:to>
    <xdr:grpSp>
      <xdr:nvGrpSpPr>
        <xdr:cNvPr id="3" name="Group 2">
          <a:extLst>
            <a:ext uri="{FF2B5EF4-FFF2-40B4-BE49-F238E27FC236}">
              <a16:creationId xmlns:a16="http://schemas.microsoft.com/office/drawing/2014/main" id="{00000000-0008-0000-0000-000003000000}"/>
            </a:ext>
          </a:extLst>
        </xdr:cNvPr>
        <xdr:cNvGrpSpPr/>
      </xdr:nvGrpSpPr>
      <xdr:grpSpPr>
        <a:xfrm>
          <a:off x="0" y="0"/>
          <a:ext cx="1950297" cy="2773915"/>
          <a:chOff x="0" y="0"/>
          <a:chExt cx="1941830" cy="2240515"/>
        </a:xfrm>
      </xdr:grpSpPr>
      <xdr:grpSp>
        <xdr:nvGrpSpPr>
          <xdr:cNvPr id="14" name="Group 13">
            <a:extLst>
              <a:ext uri="{FF2B5EF4-FFF2-40B4-BE49-F238E27FC236}">
                <a16:creationId xmlns:a16="http://schemas.microsoft.com/office/drawing/2014/main" id="{00000000-0008-0000-0000-00000E000000}"/>
              </a:ext>
            </a:extLst>
          </xdr:cNvPr>
          <xdr:cNvGrpSpPr>
            <a:grpSpLocks noChangeAspect="1"/>
          </xdr:cNvGrpSpPr>
        </xdr:nvGrpSpPr>
        <xdr:grpSpPr>
          <a:xfrm>
            <a:off x="0" y="0"/>
            <a:ext cx="1941830" cy="1750356"/>
            <a:chOff x="5080" y="0"/>
            <a:chExt cx="1940560" cy="1766898"/>
          </a:xfrm>
        </xdr:grpSpPr>
        <xdr:grpSp>
          <xdr:nvGrpSpPr>
            <xdr:cNvPr id="15" name="Group 14">
              <a:extLst>
                <a:ext uri="{FF2B5EF4-FFF2-40B4-BE49-F238E27FC236}">
                  <a16:creationId xmlns:a16="http://schemas.microsoft.com/office/drawing/2014/main" id="{00000000-0008-0000-0000-00000F000000}"/>
                </a:ext>
              </a:extLst>
            </xdr:cNvPr>
            <xdr:cNvGrpSpPr>
              <a:grpSpLocks noChangeAspect="1"/>
            </xdr:cNvGrpSpPr>
          </xdr:nvGrpSpPr>
          <xdr:grpSpPr>
            <a:xfrm>
              <a:off x="339090" y="968191"/>
              <a:ext cx="1264310" cy="798707"/>
              <a:chOff x="339090" y="969669"/>
              <a:chExt cx="1264310" cy="796867"/>
            </a:xfrm>
          </xdr:grpSpPr>
          <xdr:sp macro="[0]!Nav_Inst" textlink="">
            <xdr:nvSpPr>
              <xdr:cNvPr id="18" name="TextBox 17">
                <a:extLst>
                  <a:ext uri="{FF2B5EF4-FFF2-40B4-BE49-F238E27FC236}">
                    <a16:creationId xmlns:a16="http://schemas.microsoft.com/office/drawing/2014/main" id="{00000000-0008-0000-0000-000012000000}"/>
                  </a:ext>
                </a:extLst>
              </xdr:cNvPr>
              <xdr:cNvSpPr txBox="1"/>
            </xdr:nvSpPr>
            <xdr:spPr>
              <a:xfrm>
                <a:off x="339090" y="969669"/>
                <a:ext cx="1264310" cy="303215"/>
              </a:xfrm>
              <a:prstGeom prst="rect">
                <a:avLst/>
              </a:prstGeom>
              <a:solidFill>
                <a:srgbClr val="AFABAB"/>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b="0">
                    <a:solidFill>
                      <a:schemeClr val="tx2"/>
                    </a:solidFill>
                  </a:rPr>
                  <a:t>Instructions</a:t>
                </a:r>
              </a:p>
            </xdr:txBody>
          </xdr:sp>
          <xdr:sp macro="[0]!Nav_design" textlink="">
            <xdr:nvSpPr>
              <xdr:cNvPr id="19" name="TextBox 18">
                <a:extLst>
                  <a:ext uri="{FF2B5EF4-FFF2-40B4-BE49-F238E27FC236}">
                    <a16:creationId xmlns:a16="http://schemas.microsoft.com/office/drawing/2014/main" id="{00000000-0008-0000-0000-000013000000}"/>
                  </a:ext>
                </a:extLst>
              </xdr:cNvPr>
              <xdr:cNvSpPr txBox="1"/>
            </xdr:nvSpPr>
            <xdr:spPr>
              <a:xfrm>
                <a:off x="339090" y="1467002"/>
                <a:ext cx="1264310" cy="299534"/>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Cost calculator</a:t>
                </a:r>
              </a:p>
            </xdr:txBody>
          </xdr:sp>
        </xdr:grpSp>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
            <a:stretch>
              <a:fillRect/>
            </a:stretch>
          </xdr:blipFill>
          <xdr:spPr>
            <a:xfrm>
              <a:off x="5080" y="0"/>
              <a:ext cx="1940560" cy="752154"/>
            </a:xfrm>
            <a:prstGeom prst="rect">
              <a:avLst/>
            </a:prstGeom>
          </xdr:spPr>
        </xdr:pic>
      </xdr:grpSp>
      <xdr:sp macro="[0]!Nav_results" textlink="">
        <xdr:nvSpPr>
          <xdr:cNvPr id="2" name="TextBox 1">
            <a:extLst>
              <a:ext uri="{FF2B5EF4-FFF2-40B4-BE49-F238E27FC236}">
                <a16:creationId xmlns:a16="http://schemas.microsoft.com/office/drawing/2014/main" id="{00000000-0008-0000-0000-000002000000}"/>
              </a:ext>
            </a:extLst>
          </xdr:cNvPr>
          <xdr:cNvSpPr txBox="1"/>
        </xdr:nvSpPr>
        <xdr:spPr>
          <a:xfrm>
            <a:off x="334229" y="1943100"/>
            <a:ext cx="1265137" cy="297415"/>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Results</a:t>
            </a:r>
          </a:p>
        </xdr:txBody>
      </xdr:sp>
    </xdr:grpSp>
    <xdr:clientData/>
  </xdr:twoCellAnchor>
  <xdr:twoCellAnchor editAs="oneCell">
    <xdr:from>
      <xdr:col>4</xdr:col>
      <xdr:colOff>1</xdr:colOff>
      <xdr:row>30</xdr:row>
      <xdr:rowOff>1135380</xdr:rowOff>
    </xdr:from>
    <xdr:to>
      <xdr:col>15</xdr:col>
      <xdr:colOff>72391</xdr:colOff>
      <xdr:row>37</xdr:row>
      <xdr:rowOff>34722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a:stretch>
          <a:fillRect/>
        </a:stretch>
      </xdr:blipFill>
      <xdr:spPr>
        <a:xfrm>
          <a:off x="2567941" y="8907780"/>
          <a:ext cx="6682740" cy="1319962"/>
        </a:xfrm>
        <a:prstGeom prst="rect">
          <a:avLst/>
        </a:prstGeom>
      </xdr:spPr>
    </xdr:pic>
    <xdr:clientData/>
  </xdr:twoCellAnchor>
  <xdr:twoCellAnchor editAs="oneCell">
    <xdr:from>
      <xdr:col>4</xdr:col>
      <xdr:colOff>0</xdr:colOff>
      <xdr:row>39</xdr:row>
      <xdr:rowOff>0</xdr:rowOff>
    </xdr:from>
    <xdr:to>
      <xdr:col>14</xdr:col>
      <xdr:colOff>76200</xdr:colOff>
      <xdr:row>44</xdr:row>
      <xdr:rowOff>215900</xdr:rowOff>
    </xdr:to>
    <xdr:pic>
      <xdr:nvPicPr>
        <xdr:cNvPr id="26" name="Picture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35250" y="14027150"/>
          <a:ext cx="6299200" cy="1885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0</xdr:colOff>
      <xdr:row>22</xdr:row>
      <xdr:rowOff>0</xdr:rowOff>
    </xdr:from>
    <xdr:to>
      <xdr:col>7</xdr:col>
      <xdr:colOff>304800</xdr:colOff>
      <xdr:row>23</xdr:row>
      <xdr:rowOff>148590</xdr:rowOff>
    </xdr:to>
    <xdr:sp macro="" textlink="">
      <xdr:nvSpPr>
        <xdr:cNvPr id="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2000000}"/>
            </a:ext>
          </a:extLst>
        </xdr:cNvPr>
        <xdr:cNvSpPr>
          <a:spLocks noChangeAspect="1" noChangeArrowheads="1"/>
        </xdr:cNvSpPr>
      </xdr:nvSpPr>
      <xdr:spPr bwMode="auto">
        <a:xfrm>
          <a:off x="4381500" y="16675100"/>
          <a:ext cx="304800" cy="313055"/>
        </a:xfrm>
        <a:prstGeom prst="rect">
          <a:avLst/>
        </a:prstGeom>
        <a:noFill/>
      </xdr:spPr>
    </xdr:sp>
    <xdr:clientData/>
  </xdr:twoCellAnchor>
  <xdr:twoCellAnchor editAs="oneCell">
    <xdr:from>
      <xdr:col>7</xdr:col>
      <xdr:colOff>0</xdr:colOff>
      <xdr:row>22</xdr:row>
      <xdr:rowOff>0</xdr:rowOff>
    </xdr:from>
    <xdr:to>
      <xdr:col>7</xdr:col>
      <xdr:colOff>304800</xdr:colOff>
      <xdr:row>23</xdr:row>
      <xdr:rowOff>148590</xdr:rowOff>
    </xdr:to>
    <xdr:sp macro="" textlink="">
      <xdr:nvSpPr>
        <xdr:cNvPr id="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3000000}"/>
            </a:ext>
          </a:extLst>
        </xdr:cNvPr>
        <xdr:cNvSpPr>
          <a:spLocks noChangeAspect="1" noChangeArrowheads="1"/>
        </xdr:cNvSpPr>
      </xdr:nvSpPr>
      <xdr:spPr bwMode="auto">
        <a:xfrm>
          <a:off x="4381500" y="16675100"/>
          <a:ext cx="304800" cy="313055"/>
        </a:xfrm>
        <a:prstGeom prst="rect">
          <a:avLst/>
        </a:prstGeom>
        <a:noFill/>
      </xdr:spPr>
    </xdr:sp>
    <xdr:clientData/>
  </xdr:twoCellAnchor>
  <xdr:twoCellAnchor editAs="oneCell">
    <xdr:from>
      <xdr:col>4</xdr:col>
      <xdr:colOff>0</xdr:colOff>
      <xdr:row>49</xdr:row>
      <xdr:rowOff>0</xdr:rowOff>
    </xdr:from>
    <xdr:to>
      <xdr:col>4</xdr:col>
      <xdr:colOff>304800</xdr:colOff>
      <xdr:row>50</xdr:row>
      <xdr:rowOff>59690</xdr:rowOff>
    </xdr:to>
    <xdr:sp macro="" textlink="">
      <xdr:nvSpPr>
        <xdr:cNvPr id="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4000000}"/>
            </a:ext>
          </a:extLst>
        </xdr:cNvPr>
        <xdr:cNvSpPr>
          <a:spLocks noChangeAspect="1" noChangeArrowheads="1"/>
        </xdr:cNvSpPr>
      </xdr:nvSpPr>
      <xdr:spPr bwMode="auto">
        <a:xfrm>
          <a:off x="3175000" y="19145250"/>
          <a:ext cx="304800" cy="230505"/>
        </a:xfrm>
        <a:prstGeom prst="rect">
          <a:avLst/>
        </a:prstGeom>
        <a:noFill/>
      </xdr:spPr>
    </xdr:sp>
    <xdr:clientData/>
  </xdr:twoCellAnchor>
  <xdr:twoCellAnchor editAs="oneCell">
    <xdr:from>
      <xdr:col>4</xdr:col>
      <xdr:colOff>0</xdr:colOff>
      <xdr:row>49</xdr:row>
      <xdr:rowOff>0</xdr:rowOff>
    </xdr:from>
    <xdr:to>
      <xdr:col>4</xdr:col>
      <xdr:colOff>304800</xdr:colOff>
      <xdr:row>50</xdr:row>
      <xdr:rowOff>59690</xdr:rowOff>
    </xdr:to>
    <xdr:sp macro="" textlink="">
      <xdr:nvSpPr>
        <xdr:cNvPr id="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5000000}"/>
            </a:ext>
          </a:extLst>
        </xdr:cNvPr>
        <xdr:cNvSpPr>
          <a:spLocks noChangeAspect="1" noChangeArrowheads="1"/>
        </xdr:cNvSpPr>
      </xdr:nvSpPr>
      <xdr:spPr bwMode="auto">
        <a:xfrm>
          <a:off x="3175000" y="19145250"/>
          <a:ext cx="304800" cy="230505"/>
        </a:xfrm>
        <a:prstGeom prst="rect">
          <a:avLst/>
        </a:prstGeom>
        <a:noFill/>
      </xdr:spPr>
    </xdr:sp>
    <xdr:clientData/>
  </xdr:twoCellAnchor>
  <mc:AlternateContent xmlns:mc="http://schemas.openxmlformats.org/markup-compatibility/2006">
    <mc:Choice xmlns:a14="http://schemas.microsoft.com/office/drawing/2010/main" Requires="a14">
      <xdr:twoCellAnchor editAs="oneCell">
        <xdr:from>
          <xdr:col>5</xdr:col>
          <xdr:colOff>365760</xdr:colOff>
          <xdr:row>8</xdr:row>
          <xdr:rowOff>121920</xdr:rowOff>
        </xdr:from>
        <xdr:to>
          <xdr:col>8</xdr:col>
          <xdr:colOff>640080</xdr:colOff>
          <xdr:row>10</xdr:row>
          <xdr:rowOff>91440</xdr:rowOff>
        </xdr:to>
        <xdr:sp macro="" textlink="">
          <xdr:nvSpPr>
            <xdr:cNvPr id="68610" name="Drop Down 2" hidden="1">
              <a:extLst>
                <a:ext uri="{63B3BB69-23CF-44E3-9099-C40C66FF867C}">
                  <a14:compatExt spid="_x0000_s68610"/>
                </a:ext>
                <a:ext uri="{FF2B5EF4-FFF2-40B4-BE49-F238E27FC236}">
                  <a16:creationId xmlns:a16="http://schemas.microsoft.com/office/drawing/2014/main" id="{00000000-0008-0000-0100-00000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oneCellAnchor>
    <xdr:from>
      <xdr:col>7</xdr:col>
      <xdr:colOff>0</xdr:colOff>
      <xdr:row>23</xdr:row>
      <xdr:rowOff>0</xdr:rowOff>
    </xdr:from>
    <xdr:ext cx="304800" cy="301625"/>
    <xdr:sp macro="" textlink="">
      <xdr:nvSpPr>
        <xdr:cNvPr id="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9000000}"/>
            </a:ext>
          </a:extLst>
        </xdr:cNvPr>
        <xdr:cNvSpPr>
          <a:spLocks noChangeAspect="1" noChangeArrowheads="1"/>
        </xdr:cNvSpPr>
      </xdr:nvSpPr>
      <xdr:spPr bwMode="auto">
        <a:xfrm>
          <a:off x="7315200" y="11328400"/>
          <a:ext cx="304800" cy="301625"/>
        </a:xfrm>
        <a:prstGeom prst="rect">
          <a:avLst/>
        </a:prstGeom>
        <a:noFill/>
      </xdr:spPr>
    </xdr:sp>
    <xdr:clientData/>
  </xdr:oneCellAnchor>
  <xdr:oneCellAnchor>
    <xdr:from>
      <xdr:col>7</xdr:col>
      <xdr:colOff>0</xdr:colOff>
      <xdr:row>23</xdr:row>
      <xdr:rowOff>0</xdr:rowOff>
    </xdr:from>
    <xdr:ext cx="304800" cy="301625"/>
    <xdr:sp macro="" textlink="">
      <xdr:nvSpPr>
        <xdr:cNvPr id="1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A000000}"/>
            </a:ext>
          </a:extLst>
        </xdr:cNvPr>
        <xdr:cNvSpPr>
          <a:spLocks noChangeAspect="1" noChangeArrowheads="1"/>
        </xdr:cNvSpPr>
      </xdr:nvSpPr>
      <xdr:spPr bwMode="auto">
        <a:xfrm>
          <a:off x="7315200" y="11328400"/>
          <a:ext cx="304800" cy="301625"/>
        </a:xfrm>
        <a:prstGeom prst="rect">
          <a:avLst/>
        </a:prstGeom>
        <a:noFill/>
      </xdr:spPr>
    </xdr:sp>
    <xdr:clientData/>
  </xdr:oneCellAnchor>
  <xdr:oneCellAnchor>
    <xdr:from>
      <xdr:col>7</xdr:col>
      <xdr:colOff>0</xdr:colOff>
      <xdr:row>24</xdr:row>
      <xdr:rowOff>0</xdr:rowOff>
    </xdr:from>
    <xdr:ext cx="304800" cy="301625"/>
    <xdr:sp macro="" textlink="">
      <xdr:nvSpPr>
        <xdr:cNvPr id="1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B000000}"/>
            </a:ext>
          </a:extLst>
        </xdr:cNvPr>
        <xdr:cNvSpPr>
          <a:spLocks noChangeAspect="1" noChangeArrowheads="1"/>
        </xdr:cNvSpPr>
      </xdr:nvSpPr>
      <xdr:spPr bwMode="auto">
        <a:xfrm>
          <a:off x="7315200" y="11328400"/>
          <a:ext cx="304800" cy="301625"/>
        </a:xfrm>
        <a:prstGeom prst="rect">
          <a:avLst/>
        </a:prstGeom>
        <a:noFill/>
      </xdr:spPr>
    </xdr:sp>
    <xdr:clientData/>
  </xdr:oneCellAnchor>
  <xdr:oneCellAnchor>
    <xdr:from>
      <xdr:col>7</xdr:col>
      <xdr:colOff>0</xdr:colOff>
      <xdr:row>24</xdr:row>
      <xdr:rowOff>0</xdr:rowOff>
    </xdr:from>
    <xdr:ext cx="304800" cy="301625"/>
    <xdr:sp macro="" textlink="">
      <xdr:nvSpPr>
        <xdr:cNvPr id="1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C000000}"/>
            </a:ext>
          </a:extLst>
        </xdr:cNvPr>
        <xdr:cNvSpPr>
          <a:spLocks noChangeAspect="1" noChangeArrowheads="1"/>
        </xdr:cNvSpPr>
      </xdr:nvSpPr>
      <xdr:spPr bwMode="auto">
        <a:xfrm>
          <a:off x="7315200" y="11328400"/>
          <a:ext cx="304800" cy="301625"/>
        </a:xfrm>
        <a:prstGeom prst="rect">
          <a:avLst/>
        </a:prstGeom>
        <a:noFill/>
      </xdr:spPr>
    </xdr:sp>
    <xdr:clientData/>
  </xdr:oneCellAnchor>
  <xdr:oneCellAnchor>
    <xdr:from>
      <xdr:col>7</xdr:col>
      <xdr:colOff>0</xdr:colOff>
      <xdr:row>25</xdr:row>
      <xdr:rowOff>0</xdr:rowOff>
    </xdr:from>
    <xdr:ext cx="304800" cy="301625"/>
    <xdr:sp macro="" textlink="">
      <xdr:nvSpPr>
        <xdr:cNvPr id="1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D000000}"/>
            </a:ext>
          </a:extLst>
        </xdr:cNvPr>
        <xdr:cNvSpPr>
          <a:spLocks noChangeAspect="1" noChangeArrowheads="1"/>
        </xdr:cNvSpPr>
      </xdr:nvSpPr>
      <xdr:spPr bwMode="auto">
        <a:xfrm>
          <a:off x="7315200" y="11328400"/>
          <a:ext cx="304800" cy="301625"/>
        </a:xfrm>
        <a:prstGeom prst="rect">
          <a:avLst/>
        </a:prstGeom>
        <a:noFill/>
      </xdr:spPr>
    </xdr:sp>
    <xdr:clientData/>
  </xdr:oneCellAnchor>
  <xdr:oneCellAnchor>
    <xdr:from>
      <xdr:col>7</xdr:col>
      <xdr:colOff>0</xdr:colOff>
      <xdr:row>25</xdr:row>
      <xdr:rowOff>0</xdr:rowOff>
    </xdr:from>
    <xdr:ext cx="304800" cy="301625"/>
    <xdr:sp macro="" textlink="">
      <xdr:nvSpPr>
        <xdr:cNvPr id="1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E000000}"/>
            </a:ext>
          </a:extLst>
        </xdr:cNvPr>
        <xdr:cNvSpPr>
          <a:spLocks noChangeAspect="1" noChangeArrowheads="1"/>
        </xdr:cNvSpPr>
      </xdr:nvSpPr>
      <xdr:spPr bwMode="auto">
        <a:xfrm>
          <a:off x="7315200" y="11328400"/>
          <a:ext cx="304800" cy="301625"/>
        </a:xfrm>
        <a:prstGeom prst="rect">
          <a:avLst/>
        </a:prstGeom>
        <a:noFill/>
      </xdr:spPr>
    </xdr:sp>
    <xdr:clientData/>
  </xdr:oneCellAnchor>
  <xdr:oneCellAnchor>
    <xdr:from>
      <xdr:col>4</xdr:col>
      <xdr:colOff>0</xdr:colOff>
      <xdr:row>51</xdr:row>
      <xdr:rowOff>0</xdr:rowOff>
    </xdr:from>
    <xdr:ext cx="304800" cy="225425"/>
    <xdr:sp macro="" textlink="">
      <xdr:nvSpPr>
        <xdr:cNvPr id="1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0F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51</xdr:row>
      <xdr:rowOff>0</xdr:rowOff>
    </xdr:from>
    <xdr:ext cx="304800" cy="225425"/>
    <xdr:sp macro="" textlink="">
      <xdr:nvSpPr>
        <xdr:cNvPr id="1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0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52</xdr:row>
      <xdr:rowOff>0</xdr:rowOff>
    </xdr:from>
    <xdr:ext cx="304800" cy="225425"/>
    <xdr:sp macro="" textlink="">
      <xdr:nvSpPr>
        <xdr:cNvPr id="1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1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52</xdr:row>
      <xdr:rowOff>0</xdr:rowOff>
    </xdr:from>
    <xdr:ext cx="304800" cy="225425"/>
    <xdr:sp macro="" textlink="">
      <xdr:nvSpPr>
        <xdr:cNvPr id="1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2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53</xdr:row>
      <xdr:rowOff>0</xdr:rowOff>
    </xdr:from>
    <xdr:ext cx="304800" cy="225425"/>
    <xdr:sp macro="" textlink="">
      <xdr:nvSpPr>
        <xdr:cNvPr id="1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3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53</xdr:row>
      <xdr:rowOff>0</xdr:rowOff>
    </xdr:from>
    <xdr:ext cx="304800" cy="225425"/>
    <xdr:sp macro="" textlink="">
      <xdr:nvSpPr>
        <xdr:cNvPr id="2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4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55</xdr:row>
      <xdr:rowOff>0</xdr:rowOff>
    </xdr:from>
    <xdr:ext cx="304800" cy="225425"/>
    <xdr:sp macro="" textlink="">
      <xdr:nvSpPr>
        <xdr:cNvPr id="2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5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55</xdr:row>
      <xdr:rowOff>0</xdr:rowOff>
    </xdr:from>
    <xdr:ext cx="304800" cy="225425"/>
    <xdr:sp macro="" textlink="">
      <xdr:nvSpPr>
        <xdr:cNvPr id="2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6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56</xdr:row>
      <xdr:rowOff>0</xdr:rowOff>
    </xdr:from>
    <xdr:ext cx="304800" cy="225425"/>
    <xdr:sp macro="" textlink="">
      <xdr:nvSpPr>
        <xdr:cNvPr id="2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7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4</xdr:col>
      <xdr:colOff>0</xdr:colOff>
      <xdr:row>56</xdr:row>
      <xdr:rowOff>0</xdr:rowOff>
    </xdr:from>
    <xdr:ext cx="304800" cy="225425"/>
    <xdr:sp macro="" textlink="">
      <xdr:nvSpPr>
        <xdr:cNvPr id="2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8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5</xdr:col>
      <xdr:colOff>0</xdr:colOff>
      <xdr:row>69</xdr:row>
      <xdr:rowOff>0</xdr:rowOff>
    </xdr:from>
    <xdr:ext cx="304800" cy="225425"/>
    <xdr:sp macro="" textlink="">
      <xdr:nvSpPr>
        <xdr:cNvPr id="2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9000000}"/>
            </a:ext>
          </a:extLst>
        </xdr:cNvPr>
        <xdr:cNvSpPr>
          <a:spLocks noChangeAspect="1" noChangeArrowheads="1"/>
        </xdr:cNvSpPr>
      </xdr:nvSpPr>
      <xdr:spPr bwMode="auto">
        <a:xfrm>
          <a:off x="5765800" y="13011150"/>
          <a:ext cx="304800" cy="225425"/>
        </a:xfrm>
        <a:prstGeom prst="rect">
          <a:avLst/>
        </a:prstGeom>
        <a:noFill/>
      </xdr:spPr>
    </xdr:sp>
    <xdr:clientData/>
  </xdr:oneCellAnchor>
  <xdr:oneCellAnchor>
    <xdr:from>
      <xdr:col>5</xdr:col>
      <xdr:colOff>0</xdr:colOff>
      <xdr:row>69</xdr:row>
      <xdr:rowOff>0</xdr:rowOff>
    </xdr:from>
    <xdr:ext cx="304800" cy="225425"/>
    <xdr:sp macro="" textlink="">
      <xdr:nvSpPr>
        <xdr:cNvPr id="2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A000000}"/>
            </a:ext>
          </a:extLst>
        </xdr:cNvPr>
        <xdr:cNvSpPr>
          <a:spLocks noChangeAspect="1" noChangeArrowheads="1"/>
        </xdr:cNvSpPr>
      </xdr:nvSpPr>
      <xdr:spPr bwMode="auto">
        <a:xfrm>
          <a:off x="5765800" y="13011150"/>
          <a:ext cx="304800" cy="225425"/>
        </a:xfrm>
        <a:prstGeom prst="rect">
          <a:avLst/>
        </a:prstGeom>
        <a:noFill/>
      </xdr:spPr>
    </xdr:sp>
    <xdr:clientData/>
  </xdr:oneCellAnchor>
  <mc:AlternateContent xmlns:mc="http://schemas.openxmlformats.org/markup-compatibility/2006">
    <mc:Choice xmlns:a14="http://schemas.microsoft.com/office/drawing/2010/main" Requires="a14">
      <xdr:twoCellAnchor editAs="oneCell">
        <xdr:from>
          <xdr:col>5</xdr:col>
          <xdr:colOff>327660</xdr:colOff>
          <xdr:row>28</xdr:row>
          <xdr:rowOff>152400</xdr:rowOff>
        </xdr:from>
        <xdr:to>
          <xdr:col>8</xdr:col>
          <xdr:colOff>617220</xdr:colOff>
          <xdr:row>30</xdr:row>
          <xdr:rowOff>121920</xdr:rowOff>
        </xdr:to>
        <xdr:sp macro="" textlink="">
          <xdr:nvSpPr>
            <xdr:cNvPr id="68612" name="Drop Down 4" hidden="1">
              <a:extLst>
                <a:ext uri="{63B3BB69-23CF-44E3-9099-C40C66FF867C}">
                  <a14:compatExt spid="_x0000_s68612"/>
                </a:ext>
                <a:ext uri="{FF2B5EF4-FFF2-40B4-BE49-F238E27FC236}">
                  <a16:creationId xmlns:a16="http://schemas.microsoft.com/office/drawing/2014/main" id="{00000000-0008-0000-0100-000004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2514600</xdr:colOff>
          <xdr:row>73</xdr:row>
          <xdr:rowOff>53340</xdr:rowOff>
        </xdr:from>
        <xdr:to>
          <xdr:col>7</xdr:col>
          <xdr:colOff>655320</xdr:colOff>
          <xdr:row>74</xdr:row>
          <xdr:rowOff>205740</xdr:rowOff>
        </xdr:to>
        <xdr:sp macro="" textlink="">
          <xdr:nvSpPr>
            <xdr:cNvPr id="68614" name="Drop Down 6" hidden="1">
              <a:extLst>
                <a:ext uri="{63B3BB69-23CF-44E3-9099-C40C66FF867C}">
                  <a14:compatExt spid="_x0000_s68614"/>
                </a:ext>
                <a:ext uri="{FF2B5EF4-FFF2-40B4-BE49-F238E27FC236}">
                  <a16:creationId xmlns:a16="http://schemas.microsoft.com/office/drawing/2014/main" id="{00000000-0008-0000-0100-000006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739140</xdr:colOff>
          <xdr:row>118</xdr:row>
          <xdr:rowOff>68580</xdr:rowOff>
        </xdr:from>
        <xdr:to>
          <xdr:col>9</xdr:col>
          <xdr:colOff>76200</xdr:colOff>
          <xdr:row>119</xdr:row>
          <xdr:rowOff>213360</xdr:rowOff>
        </xdr:to>
        <xdr:sp macro="" textlink="">
          <xdr:nvSpPr>
            <xdr:cNvPr id="68616" name="Drop Down 8" hidden="1">
              <a:extLst>
                <a:ext uri="{63B3BB69-23CF-44E3-9099-C40C66FF867C}">
                  <a14:compatExt spid="_x0000_s68616"/>
                </a:ext>
                <a:ext uri="{FF2B5EF4-FFF2-40B4-BE49-F238E27FC236}">
                  <a16:creationId xmlns:a16="http://schemas.microsoft.com/office/drawing/2014/main" id="{00000000-0008-0000-0100-00000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2583180</xdr:colOff>
          <xdr:row>169</xdr:row>
          <xdr:rowOff>15240</xdr:rowOff>
        </xdr:from>
        <xdr:to>
          <xdr:col>7</xdr:col>
          <xdr:colOff>723900</xdr:colOff>
          <xdr:row>170</xdr:row>
          <xdr:rowOff>182880</xdr:rowOff>
        </xdr:to>
        <xdr:sp macro="" textlink="">
          <xdr:nvSpPr>
            <xdr:cNvPr id="68617" name="Drop Down 9" hidden="1">
              <a:extLst>
                <a:ext uri="{63B3BB69-23CF-44E3-9099-C40C66FF867C}">
                  <a14:compatExt spid="_x0000_s68617"/>
                </a:ext>
                <a:ext uri="{FF2B5EF4-FFF2-40B4-BE49-F238E27FC236}">
                  <a16:creationId xmlns:a16="http://schemas.microsoft.com/office/drawing/2014/main" id="{00000000-0008-0000-0100-000009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708660</xdr:colOff>
          <xdr:row>99</xdr:row>
          <xdr:rowOff>45720</xdr:rowOff>
        </xdr:from>
        <xdr:to>
          <xdr:col>9</xdr:col>
          <xdr:colOff>38100</xdr:colOff>
          <xdr:row>100</xdr:row>
          <xdr:rowOff>182880</xdr:rowOff>
        </xdr:to>
        <xdr:sp macro="" textlink="">
          <xdr:nvSpPr>
            <xdr:cNvPr id="68619" name="Drop Down 11" hidden="1">
              <a:extLst>
                <a:ext uri="{63B3BB69-23CF-44E3-9099-C40C66FF867C}">
                  <a14:compatExt spid="_x0000_s68619"/>
                </a:ext>
                <a:ext uri="{FF2B5EF4-FFF2-40B4-BE49-F238E27FC236}">
                  <a16:creationId xmlns:a16="http://schemas.microsoft.com/office/drawing/2014/main" id="{00000000-0008-0000-0100-00000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90</xdr:row>
          <xdr:rowOff>144780</xdr:rowOff>
        </xdr:from>
        <xdr:to>
          <xdr:col>4</xdr:col>
          <xdr:colOff>2057400</xdr:colOff>
          <xdr:row>92</xdr:row>
          <xdr:rowOff>38100</xdr:rowOff>
        </xdr:to>
        <xdr:sp macro="" textlink="">
          <xdr:nvSpPr>
            <xdr:cNvPr id="68622" name="Check Box 14" hidden="1">
              <a:extLst>
                <a:ext uri="{63B3BB69-23CF-44E3-9099-C40C66FF867C}">
                  <a14:compatExt spid="_x0000_s68622"/>
                </a:ext>
                <a:ext uri="{FF2B5EF4-FFF2-40B4-BE49-F238E27FC236}">
                  <a16:creationId xmlns:a16="http://schemas.microsoft.com/office/drawing/2014/main" id="{00000000-0008-0000-01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91</xdr:row>
          <xdr:rowOff>144780</xdr:rowOff>
        </xdr:from>
        <xdr:to>
          <xdr:col>4</xdr:col>
          <xdr:colOff>2057400</xdr:colOff>
          <xdr:row>93</xdr:row>
          <xdr:rowOff>38100</xdr:rowOff>
        </xdr:to>
        <xdr:sp macro="" textlink="">
          <xdr:nvSpPr>
            <xdr:cNvPr id="68623" name="Check Box 15" hidden="1">
              <a:extLst>
                <a:ext uri="{63B3BB69-23CF-44E3-9099-C40C66FF867C}">
                  <a14:compatExt spid="_x0000_s68623"/>
                </a:ext>
                <a:ext uri="{FF2B5EF4-FFF2-40B4-BE49-F238E27FC236}">
                  <a16:creationId xmlns:a16="http://schemas.microsoft.com/office/drawing/2014/main" id="{00000000-0008-0000-01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92</xdr:row>
          <xdr:rowOff>152400</xdr:rowOff>
        </xdr:from>
        <xdr:to>
          <xdr:col>4</xdr:col>
          <xdr:colOff>2057400</xdr:colOff>
          <xdr:row>94</xdr:row>
          <xdr:rowOff>45720</xdr:rowOff>
        </xdr:to>
        <xdr:sp macro="" textlink="">
          <xdr:nvSpPr>
            <xdr:cNvPr id="68625" name="Check Box 17" hidden="1">
              <a:extLst>
                <a:ext uri="{63B3BB69-23CF-44E3-9099-C40C66FF867C}">
                  <a14:compatExt spid="_x0000_s68625"/>
                </a:ext>
                <a:ext uri="{FF2B5EF4-FFF2-40B4-BE49-F238E27FC236}">
                  <a16:creationId xmlns:a16="http://schemas.microsoft.com/office/drawing/2014/main" id="{00000000-0008-0000-0100-00001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93</xdr:row>
          <xdr:rowOff>152400</xdr:rowOff>
        </xdr:from>
        <xdr:to>
          <xdr:col>4</xdr:col>
          <xdr:colOff>2057400</xdr:colOff>
          <xdr:row>95</xdr:row>
          <xdr:rowOff>45720</xdr:rowOff>
        </xdr:to>
        <xdr:sp macro="" textlink="">
          <xdr:nvSpPr>
            <xdr:cNvPr id="68626" name="Check Box 18" hidden="1">
              <a:extLst>
                <a:ext uri="{63B3BB69-23CF-44E3-9099-C40C66FF867C}">
                  <a14:compatExt spid="_x0000_s68626"/>
                </a:ext>
                <a:ext uri="{FF2B5EF4-FFF2-40B4-BE49-F238E27FC236}">
                  <a16:creationId xmlns:a16="http://schemas.microsoft.com/office/drawing/2014/main" id="{00000000-0008-0000-0100-000012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94</xdr:row>
          <xdr:rowOff>160020</xdr:rowOff>
        </xdr:from>
        <xdr:to>
          <xdr:col>4</xdr:col>
          <xdr:colOff>2057400</xdr:colOff>
          <xdr:row>96</xdr:row>
          <xdr:rowOff>53340</xdr:rowOff>
        </xdr:to>
        <xdr:sp macro="" textlink="">
          <xdr:nvSpPr>
            <xdr:cNvPr id="68627" name="Check Box 19" hidden="1">
              <a:extLst>
                <a:ext uri="{63B3BB69-23CF-44E3-9099-C40C66FF867C}">
                  <a14:compatExt spid="_x0000_s68627"/>
                </a:ext>
                <a:ext uri="{FF2B5EF4-FFF2-40B4-BE49-F238E27FC236}">
                  <a16:creationId xmlns:a16="http://schemas.microsoft.com/office/drawing/2014/main" id="{00000000-0008-0000-0100-000013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95</xdr:row>
          <xdr:rowOff>160020</xdr:rowOff>
        </xdr:from>
        <xdr:to>
          <xdr:col>4</xdr:col>
          <xdr:colOff>2057400</xdr:colOff>
          <xdr:row>97</xdr:row>
          <xdr:rowOff>53340</xdr:rowOff>
        </xdr:to>
        <xdr:sp macro="" textlink="">
          <xdr:nvSpPr>
            <xdr:cNvPr id="68629" name="Check Box 21" hidden="1">
              <a:extLst>
                <a:ext uri="{63B3BB69-23CF-44E3-9099-C40C66FF867C}">
                  <a14:compatExt spid="_x0000_s68629"/>
                </a:ext>
                <a:ext uri="{FF2B5EF4-FFF2-40B4-BE49-F238E27FC236}">
                  <a16:creationId xmlns:a16="http://schemas.microsoft.com/office/drawing/2014/main" id="{00000000-0008-0000-01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646430</xdr:colOff>
      <xdr:row>10</xdr:row>
      <xdr:rowOff>91675</xdr:rowOff>
    </xdr:to>
    <xdr:grpSp>
      <xdr:nvGrpSpPr>
        <xdr:cNvPr id="31" name="Group 30">
          <a:extLst>
            <a:ext uri="{FF2B5EF4-FFF2-40B4-BE49-F238E27FC236}">
              <a16:creationId xmlns:a16="http://schemas.microsoft.com/office/drawing/2014/main" id="{00000000-0008-0000-0100-00001F000000}"/>
            </a:ext>
          </a:extLst>
        </xdr:cNvPr>
        <xdr:cNvGrpSpPr/>
      </xdr:nvGrpSpPr>
      <xdr:grpSpPr>
        <a:xfrm>
          <a:off x="0" y="0"/>
          <a:ext cx="1941830" cy="2396725"/>
          <a:chOff x="0" y="0"/>
          <a:chExt cx="1941830" cy="2240515"/>
        </a:xfrm>
      </xdr:grpSpPr>
      <xdr:grpSp>
        <xdr:nvGrpSpPr>
          <xdr:cNvPr id="32" name="Group 31">
            <a:extLst>
              <a:ext uri="{FF2B5EF4-FFF2-40B4-BE49-F238E27FC236}">
                <a16:creationId xmlns:a16="http://schemas.microsoft.com/office/drawing/2014/main" id="{00000000-0008-0000-0100-000020000000}"/>
              </a:ext>
            </a:extLst>
          </xdr:cNvPr>
          <xdr:cNvGrpSpPr>
            <a:grpSpLocks noChangeAspect="1"/>
          </xdr:cNvGrpSpPr>
        </xdr:nvGrpSpPr>
        <xdr:grpSpPr>
          <a:xfrm>
            <a:off x="0" y="0"/>
            <a:ext cx="1941830" cy="1750356"/>
            <a:chOff x="5080" y="0"/>
            <a:chExt cx="1940560" cy="1766898"/>
          </a:xfrm>
        </xdr:grpSpPr>
        <xdr:grpSp>
          <xdr:nvGrpSpPr>
            <xdr:cNvPr id="34" name="Group 33">
              <a:extLst>
                <a:ext uri="{FF2B5EF4-FFF2-40B4-BE49-F238E27FC236}">
                  <a16:creationId xmlns:a16="http://schemas.microsoft.com/office/drawing/2014/main" id="{00000000-0008-0000-0100-000022000000}"/>
                </a:ext>
              </a:extLst>
            </xdr:cNvPr>
            <xdr:cNvGrpSpPr>
              <a:grpSpLocks noChangeAspect="1"/>
            </xdr:cNvGrpSpPr>
          </xdr:nvGrpSpPr>
          <xdr:grpSpPr>
            <a:xfrm>
              <a:off x="339090" y="968191"/>
              <a:ext cx="1264310" cy="798707"/>
              <a:chOff x="339090" y="969669"/>
              <a:chExt cx="1264310" cy="796867"/>
            </a:xfrm>
          </xdr:grpSpPr>
          <xdr:sp macro="[0]!Nav_Inst" textlink="">
            <xdr:nvSpPr>
              <xdr:cNvPr id="41" name="TextBox 40">
                <a:extLst>
                  <a:ext uri="{FF2B5EF4-FFF2-40B4-BE49-F238E27FC236}">
                    <a16:creationId xmlns:a16="http://schemas.microsoft.com/office/drawing/2014/main" id="{00000000-0008-0000-0100-000029000000}"/>
                  </a:ext>
                </a:extLst>
              </xdr:cNvPr>
              <xdr:cNvSpPr txBox="1"/>
            </xdr:nvSpPr>
            <xdr:spPr>
              <a:xfrm>
                <a:off x="339090" y="969669"/>
                <a:ext cx="1264310" cy="303215"/>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b="0">
                    <a:solidFill>
                      <a:schemeClr val="tx2"/>
                    </a:solidFill>
                  </a:rPr>
                  <a:t>Instructions</a:t>
                </a:r>
              </a:p>
            </xdr:txBody>
          </xdr:sp>
          <xdr:sp macro="[0]!Nav_design" textlink="">
            <xdr:nvSpPr>
              <xdr:cNvPr id="42" name="TextBox 41">
                <a:extLst>
                  <a:ext uri="{FF2B5EF4-FFF2-40B4-BE49-F238E27FC236}">
                    <a16:creationId xmlns:a16="http://schemas.microsoft.com/office/drawing/2014/main" id="{00000000-0008-0000-0100-00002A000000}"/>
                  </a:ext>
                </a:extLst>
              </xdr:cNvPr>
              <xdr:cNvSpPr txBox="1"/>
            </xdr:nvSpPr>
            <xdr:spPr>
              <a:xfrm>
                <a:off x="339090" y="1467002"/>
                <a:ext cx="1264310" cy="299534"/>
              </a:xfrm>
              <a:prstGeom prst="rect">
                <a:avLst/>
              </a:prstGeom>
              <a:solidFill>
                <a:srgbClr val="AFABAB"/>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Cost calculator</a:t>
                </a:r>
              </a:p>
            </xdr:txBody>
          </xdr:sp>
        </xdr:grpSp>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
            <a:stretch>
              <a:fillRect/>
            </a:stretch>
          </xdr:blipFill>
          <xdr:spPr>
            <a:xfrm>
              <a:off x="5080" y="0"/>
              <a:ext cx="1940560" cy="752154"/>
            </a:xfrm>
            <a:prstGeom prst="rect">
              <a:avLst/>
            </a:prstGeom>
          </xdr:spPr>
        </xdr:pic>
      </xdr:grpSp>
      <xdr:sp macro="[0]!Nav_results" textlink="">
        <xdr:nvSpPr>
          <xdr:cNvPr id="33" name="TextBox 32">
            <a:extLst>
              <a:ext uri="{FF2B5EF4-FFF2-40B4-BE49-F238E27FC236}">
                <a16:creationId xmlns:a16="http://schemas.microsoft.com/office/drawing/2014/main" id="{00000000-0008-0000-0100-000021000000}"/>
              </a:ext>
            </a:extLst>
          </xdr:cNvPr>
          <xdr:cNvSpPr txBox="1"/>
        </xdr:nvSpPr>
        <xdr:spPr>
          <a:xfrm>
            <a:off x="334229" y="1943100"/>
            <a:ext cx="1265137" cy="297415"/>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Results</a:t>
            </a:r>
          </a:p>
        </xdr:txBody>
      </xdr:sp>
    </xdr:grpSp>
    <xdr:clientData/>
  </xdr:twoCellAnchor>
  <xdr:twoCellAnchor>
    <xdr:from>
      <xdr:col>9</xdr:col>
      <xdr:colOff>0</xdr:colOff>
      <xdr:row>1</xdr:row>
      <xdr:rowOff>0</xdr:rowOff>
    </xdr:from>
    <xdr:to>
      <xdr:col>10</xdr:col>
      <xdr:colOff>305017</xdr:colOff>
      <xdr:row>1</xdr:row>
      <xdr:rowOff>299554</xdr:rowOff>
    </xdr:to>
    <xdr:sp macro="[0]!restore" textlink="">
      <xdr:nvSpPr>
        <xdr:cNvPr id="29" name="TextBox 28">
          <a:extLst>
            <a:ext uri="{FF2B5EF4-FFF2-40B4-BE49-F238E27FC236}">
              <a16:creationId xmlns:a16="http://schemas.microsoft.com/office/drawing/2014/main" id="{00000000-0008-0000-0100-00001D000000}"/>
            </a:ext>
          </a:extLst>
        </xdr:cNvPr>
        <xdr:cNvSpPr txBox="1"/>
      </xdr:nvSpPr>
      <xdr:spPr>
        <a:xfrm>
          <a:off x="9683750" y="184150"/>
          <a:ext cx="1263867" cy="299554"/>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b="0">
              <a:solidFill>
                <a:schemeClr val="tx2"/>
              </a:solidFill>
            </a:rPr>
            <a:t>Restore defaults</a:t>
          </a:r>
        </a:p>
      </xdr:txBody>
    </xdr:sp>
    <xdr:clientData/>
  </xdr:twoCellAnchor>
  <mc:AlternateContent xmlns:mc="http://schemas.openxmlformats.org/markup-compatibility/2006">
    <mc:Choice xmlns:a14="http://schemas.microsoft.com/office/drawing/2010/main" Requires="a14">
      <xdr:twoCellAnchor editAs="oneCell">
        <xdr:from>
          <xdr:col>4</xdr:col>
          <xdr:colOff>2362200</xdr:colOff>
          <xdr:row>36</xdr:row>
          <xdr:rowOff>0</xdr:rowOff>
        </xdr:from>
        <xdr:to>
          <xdr:col>8</xdr:col>
          <xdr:colOff>160020</xdr:colOff>
          <xdr:row>37</xdr:row>
          <xdr:rowOff>68580</xdr:rowOff>
        </xdr:to>
        <xdr:sp macro="" textlink="">
          <xdr:nvSpPr>
            <xdr:cNvPr id="68630" name="Drop Down 22" hidden="1">
              <a:extLst>
                <a:ext uri="{63B3BB69-23CF-44E3-9099-C40C66FF867C}">
                  <a14:compatExt spid="_x0000_s68630"/>
                </a:ext>
                <a:ext uri="{FF2B5EF4-FFF2-40B4-BE49-F238E27FC236}">
                  <a16:creationId xmlns:a16="http://schemas.microsoft.com/office/drawing/2014/main" id="{00000000-0008-0000-0100-000016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906780</xdr:colOff>
          <xdr:row>150</xdr:row>
          <xdr:rowOff>45720</xdr:rowOff>
        </xdr:from>
        <xdr:to>
          <xdr:col>9</xdr:col>
          <xdr:colOff>251460</xdr:colOff>
          <xdr:row>151</xdr:row>
          <xdr:rowOff>198120</xdr:rowOff>
        </xdr:to>
        <xdr:sp macro="" textlink="">
          <xdr:nvSpPr>
            <xdr:cNvPr id="68634" name="Drop Down 26" hidden="1">
              <a:extLst>
                <a:ext uri="{63B3BB69-23CF-44E3-9099-C40C66FF867C}">
                  <a14:compatExt spid="_x0000_s68634"/>
                </a:ext>
                <a:ext uri="{FF2B5EF4-FFF2-40B4-BE49-F238E27FC236}">
                  <a16:creationId xmlns:a16="http://schemas.microsoft.com/office/drawing/2014/main" id="{00000000-0008-0000-0100-00001A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7</xdr:col>
      <xdr:colOff>0</xdr:colOff>
      <xdr:row>25</xdr:row>
      <xdr:rowOff>0</xdr:rowOff>
    </xdr:from>
    <xdr:ext cx="304800" cy="301625"/>
    <xdr:sp macro="" textlink="">
      <xdr:nvSpPr>
        <xdr:cNvPr id="3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1E000000}"/>
            </a:ext>
          </a:extLst>
        </xdr:cNvPr>
        <xdr:cNvSpPr>
          <a:spLocks noChangeAspect="1" noChangeArrowheads="1"/>
        </xdr:cNvSpPr>
      </xdr:nvSpPr>
      <xdr:spPr bwMode="auto">
        <a:xfrm>
          <a:off x="7726680" y="6035040"/>
          <a:ext cx="304800" cy="301625"/>
        </a:xfrm>
        <a:prstGeom prst="rect">
          <a:avLst/>
        </a:prstGeom>
        <a:noFill/>
      </xdr:spPr>
    </xdr:sp>
    <xdr:clientData/>
  </xdr:oneCellAnchor>
  <xdr:oneCellAnchor>
    <xdr:from>
      <xdr:col>7</xdr:col>
      <xdr:colOff>0</xdr:colOff>
      <xdr:row>25</xdr:row>
      <xdr:rowOff>0</xdr:rowOff>
    </xdr:from>
    <xdr:ext cx="304800" cy="301625"/>
    <xdr:sp macro="" textlink="">
      <xdr:nvSpPr>
        <xdr:cNvPr id="3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23000000}"/>
            </a:ext>
          </a:extLst>
        </xdr:cNvPr>
        <xdr:cNvSpPr>
          <a:spLocks noChangeAspect="1" noChangeArrowheads="1"/>
        </xdr:cNvSpPr>
      </xdr:nvSpPr>
      <xdr:spPr bwMode="auto">
        <a:xfrm>
          <a:off x="7726680" y="6035040"/>
          <a:ext cx="304800" cy="301625"/>
        </a:xfrm>
        <a:prstGeom prst="rect">
          <a:avLst/>
        </a:prstGeom>
        <a:noFill/>
      </xdr:spPr>
    </xdr:sp>
    <xdr:clientData/>
  </xdr:oneCellAnchor>
  <xdr:oneCellAnchor>
    <xdr:from>
      <xdr:col>7</xdr:col>
      <xdr:colOff>0</xdr:colOff>
      <xdr:row>26</xdr:row>
      <xdr:rowOff>0</xdr:rowOff>
    </xdr:from>
    <xdr:ext cx="304800" cy="301625"/>
    <xdr:sp macro="" textlink="">
      <xdr:nvSpPr>
        <xdr:cNvPr id="3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24000000}"/>
            </a:ext>
          </a:extLst>
        </xdr:cNvPr>
        <xdr:cNvSpPr>
          <a:spLocks noChangeAspect="1" noChangeArrowheads="1"/>
        </xdr:cNvSpPr>
      </xdr:nvSpPr>
      <xdr:spPr bwMode="auto">
        <a:xfrm>
          <a:off x="7726680" y="6217920"/>
          <a:ext cx="304800" cy="301625"/>
        </a:xfrm>
        <a:prstGeom prst="rect">
          <a:avLst/>
        </a:prstGeom>
        <a:noFill/>
      </xdr:spPr>
    </xdr:sp>
    <xdr:clientData/>
  </xdr:oneCellAnchor>
  <xdr:oneCellAnchor>
    <xdr:from>
      <xdr:col>7</xdr:col>
      <xdr:colOff>0</xdr:colOff>
      <xdr:row>26</xdr:row>
      <xdr:rowOff>0</xdr:rowOff>
    </xdr:from>
    <xdr:ext cx="304800" cy="301625"/>
    <xdr:sp macro="" textlink="">
      <xdr:nvSpPr>
        <xdr:cNvPr id="3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100-000026000000}"/>
            </a:ext>
          </a:extLst>
        </xdr:cNvPr>
        <xdr:cNvSpPr>
          <a:spLocks noChangeAspect="1" noChangeArrowheads="1"/>
        </xdr:cNvSpPr>
      </xdr:nvSpPr>
      <xdr:spPr bwMode="auto">
        <a:xfrm>
          <a:off x="7726680" y="6217920"/>
          <a:ext cx="304800" cy="301625"/>
        </a:xfrm>
        <a:prstGeom prst="rect">
          <a:avLst/>
        </a:prstGeom>
        <a:noFill/>
      </xdr:spPr>
    </xdr:sp>
    <xdr:clientData/>
  </xdr:oneCellAnchor>
  <mc:AlternateContent xmlns:mc="http://schemas.openxmlformats.org/markup-compatibility/2006">
    <mc:Choice xmlns:a14="http://schemas.microsoft.com/office/drawing/2010/main" Requires="a14">
      <xdr:twoCellAnchor editAs="oneCell">
        <xdr:from>
          <xdr:col>4</xdr:col>
          <xdr:colOff>1188720</xdr:colOff>
          <xdr:row>96</xdr:row>
          <xdr:rowOff>160020</xdr:rowOff>
        </xdr:from>
        <xdr:to>
          <xdr:col>4</xdr:col>
          <xdr:colOff>2057400</xdr:colOff>
          <xdr:row>98</xdr:row>
          <xdr:rowOff>45720</xdr:rowOff>
        </xdr:to>
        <xdr:sp macro="" textlink="">
          <xdr:nvSpPr>
            <xdr:cNvPr id="68646" name="Check Box 38" hidden="1">
              <a:extLst>
                <a:ext uri="{63B3BB69-23CF-44E3-9099-C40C66FF867C}">
                  <a14:compatExt spid="_x0000_s68646"/>
                </a:ext>
                <a:ext uri="{FF2B5EF4-FFF2-40B4-BE49-F238E27FC236}">
                  <a16:creationId xmlns:a16="http://schemas.microsoft.com/office/drawing/2014/main" id="{00000000-0008-0000-0100-00002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96</xdr:row>
          <xdr:rowOff>160020</xdr:rowOff>
        </xdr:from>
        <xdr:to>
          <xdr:col>4</xdr:col>
          <xdr:colOff>2057400</xdr:colOff>
          <xdr:row>98</xdr:row>
          <xdr:rowOff>45720</xdr:rowOff>
        </xdr:to>
        <xdr:sp macro="" textlink="">
          <xdr:nvSpPr>
            <xdr:cNvPr id="68647" name="Check Box 39" hidden="1">
              <a:extLst>
                <a:ext uri="{63B3BB69-23CF-44E3-9099-C40C66FF867C}">
                  <a14:compatExt spid="_x0000_s68647"/>
                </a:ext>
                <a:ext uri="{FF2B5EF4-FFF2-40B4-BE49-F238E27FC236}">
                  <a16:creationId xmlns:a16="http://schemas.microsoft.com/office/drawing/2014/main" id="{00000000-0008-0000-0100-00002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116840</xdr:rowOff>
    </xdr:to>
    <xdr:sp macro="" textlink="">
      <xdr:nvSpPr>
        <xdr:cNvPr id="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2000000}"/>
            </a:ext>
          </a:extLst>
        </xdr:cNvPr>
        <xdr:cNvSpPr>
          <a:spLocks noChangeAspect="1" noChangeArrowheads="1"/>
        </xdr:cNvSpPr>
      </xdr:nvSpPr>
      <xdr:spPr bwMode="auto">
        <a:xfrm>
          <a:off x="7680960" y="5692140"/>
          <a:ext cx="304800" cy="300355"/>
        </a:xfrm>
        <a:prstGeom prst="rect">
          <a:avLst/>
        </a:prstGeom>
        <a:noFill/>
      </xdr:spPr>
    </xdr:sp>
    <xdr:clientData/>
  </xdr:twoCellAnchor>
  <xdr:twoCellAnchor editAs="oneCell">
    <xdr:from>
      <xdr:col>7</xdr:col>
      <xdr:colOff>0</xdr:colOff>
      <xdr:row>5</xdr:row>
      <xdr:rowOff>0</xdr:rowOff>
    </xdr:from>
    <xdr:to>
      <xdr:col>7</xdr:col>
      <xdr:colOff>304800</xdr:colOff>
      <xdr:row>6</xdr:row>
      <xdr:rowOff>116840</xdr:rowOff>
    </xdr:to>
    <xdr:sp macro="" textlink="">
      <xdr:nvSpPr>
        <xdr:cNvPr id="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3000000}"/>
            </a:ext>
          </a:extLst>
        </xdr:cNvPr>
        <xdr:cNvSpPr>
          <a:spLocks noChangeAspect="1" noChangeArrowheads="1"/>
        </xdr:cNvSpPr>
      </xdr:nvSpPr>
      <xdr:spPr bwMode="auto">
        <a:xfrm>
          <a:off x="7680960" y="5692140"/>
          <a:ext cx="304800" cy="300355"/>
        </a:xfrm>
        <a:prstGeom prst="rect">
          <a:avLst/>
        </a:prstGeom>
        <a:noFill/>
      </xdr:spPr>
    </xdr:sp>
    <xdr:clientData/>
  </xdr:twoCellAnchor>
  <xdr:twoCellAnchor editAs="oneCell">
    <xdr:from>
      <xdr:col>4</xdr:col>
      <xdr:colOff>0</xdr:colOff>
      <xdr:row>5</xdr:row>
      <xdr:rowOff>0</xdr:rowOff>
    </xdr:from>
    <xdr:to>
      <xdr:col>4</xdr:col>
      <xdr:colOff>304800</xdr:colOff>
      <xdr:row>6</xdr:row>
      <xdr:rowOff>40640</xdr:rowOff>
    </xdr:to>
    <xdr:sp macro="" textlink="">
      <xdr:nvSpPr>
        <xdr:cNvPr id="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4000000}"/>
            </a:ext>
          </a:extLst>
        </xdr:cNvPr>
        <xdr:cNvSpPr>
          <a:spLocks noChangeAspect="1" noChangeArrowheads="1"/>
        </xdr:cNvSpPr>
      </xdr:nvSpPr>
      <xdr:spPr bwMode="auto">
        <a:xfrm>
          <a:off x="2567940" y="9654540"/>
          <a:ext cx="304800" cy="224155"/>
        </a:xfrm>
        <a:prstGeom prst="rect">
          <a:avLst/>
        </a:prstGeom>
        <a:noFill/>
      </xdr:spPr>
    </xdr:sp>
    <xdr:clientData/>
  </xdr:twoCellAnchor>
  <xdr:twoCellAnchor editAs="oneCell">
    <xdr:from>
      <xdr:col>4</xdr:col>
      <xdr:colOff>0</xdr:colOff>
      <xdr:row>5</xdr:row>
      <xdr:rowOff>0</xdr:rowOff>
    </xdr:from>
    <xdr:to>
      <xdr:col>4</xdr:col>
      <xdr:colOff>304800</xdr:colOff>
      <xdr:row>6</xdr:row>
      <xdr:rowOff>40640</xdr:rowOff>
    </xdr:to>
    <xdr:sp macro="" textlink="">
      <xdr:nvSpPr>
        <xdr:cNvPr id="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5000000}"/>
            </a:ext>
          </a:extLst>
        </xdr:cNvPr>
        <xdr:cNvSpPr>
          <a:spLocks noChangeAspect="1" noChangeArrowheads="1"/>
        </xdr:cNvSpPr>
      </xdr:nvSpPr>
      <xdr:spPr bwMode="auto">
        <a:xfrm>
          <a:off x="2567940" y="9654540"/>
          <a:ext cx="304800" cy="224155"/>
        </a:xfrm>
        <a:prstGeom prst="rect">
          <a:avLst/>
        </a:prstGeom>
        <a:noFill/>
      </xdr:spPr>
    </xdr:sp>
    <xdr:clientData/>
  </xdr:twoCellAnchor>
  <xdr:oneCellAnchor>
    <xdr:from>
      <xdr:col>7</xdr:col>
      <xdr:colOff>0</xdr:colOff>
      <xdr:row>5</xdr:row>
      <xdr:rowOff>0</xdr:rowOff>
    </xdr:from>
    <xdr:ext cx="304800" cy="301625"/>
    <xdr:sp macro="" textlink="">
      <xdr:nvSpPr>
        <xdr:cNvPr id="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6000000}"/>
            </a:ext>
          </a:extLst>
        </xdr:cNvPr>
        <xdr:cNvSpPr>
          <a:spLocks noChangeAspect="1" noChangeArrowheads="1"/>
        </xdr:cNvSpPr>
      </xdr:nvSpPr>
      <xdr:spPr bwMode="auto">
        <a:xfrm>
          <a:off x="7680960" y="587502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7000000}"/>
            </a:ext>
          </a:extLst>
        </xdr:cNvPr>
        <xdr:cNvSpPr>
          <a:spLocks noChangeAspect="1" noChangeArrowheads="1"/>
        </xdr:cNvSpPr>
      </xdr:nvSpPr>
      <xdr:spPr bwMode="auto">
        <a:xfrm>
          <a:off x="7680960" y="587502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8000000}"/>
            </a:ext>
          </a:extLst>
        </xdr:cNvPr>
        <xdr:cNvSpPr>
          <a:spLocks noChangeAspect="1" noChangeArrowheads="1"/>
        </xdr:cNvSpPr>
      </xdr:nvSpPr>
      <xdr:spPr bwMode="auto">
        <a:xfrm>
          <a:off x="7680960" y="60579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9000000}"/>
            </a:ext>
          </a:extLst>
        </xdr:cNvPr>
        <xdr:cNvSpPr>
          <a:spLocks noChangeAspect="1" noChangeArrowheads="1"/>
        </xdr:cNvSpPr>
      </xdr:nvSpPr>
      <xdr:spPr bwMode="auto">
        <a:xfrm>
          <a:off x="7680960" y="60579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1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A000000}"/>
            </a:ext>
          </a:extLst>
        </xdr:cNvPr>
        <xdr:cNvSpPr>
          <a:spLocks noChangeAspect="1" noChangeArrowheads="1"/>
        </xdr:cNvSpPr>
      </xdr:nvSpPr>
      <xdr:spPr bwMode="auto">
        <a:xfrm>
          <a:off x="7680960" y="624078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1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B000000}"/>
            </a:ext>
          </a:extLst>
        </xdr:cNvPr>
        <xdr:cNvSpPr>
          <a:spLocks noChangeAspect="1" noChangeArrowheads="1"/>
        </xdr:cNvSpPr>
      </xdr:nvSpPr>
      <xdr:spPr bwMode="auto">
        <a:xfrm>
          <a:off x="7680960" y="6240780"/>
          <a:ext cx="304800" cy="301625"/>
        </a:xfrm>
        <a:prstGeom prst="rect">
          <a:avLst/>
        </a:prstGeom>
        <a:noFill/>
      </xdr:spPr>
    </xdr:sp>
    <xdr:clientData/>
  </xdr:oneCellAnchor>
  <xdr:oneCellAnchor>
    <xdr:from>
      <xdr:col>4</xdr:col>
      <xdr:colOff>0</xdr:colOff>
      <xdr:row>5</xdr:row>
      <xdr:rowOff>0</xdr:rowOff>
    </xdr:from>
    <xdr:ext cx="304800" cy="225425"/>
    <xdr:sp macro="" textlink="">
      <xdr:nvSpPr>
        <xdr:cNvPr id="1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C000000}"/>
            </a:ext>
          </a:extLst>
        </xdr:cNvPr>
        <xdr:cNvSpPr>
          <a:spLocks noChangeAspect="1" noChangeArrowheads="1"/>
        </xdr:cNvSpPr>
      </xdr:nvSpPr>
      <xdr:spPr bwMode="auto">
        <a:xfrm>
          <a:off x="2567940" y="983742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D000000}"/>
            </a:ext>
          </a:extLst>
        </xdr:cNvPr>
        <xdr:cNvSpPr>
          <a:spLocks noChangeAspect="1" noChangeArrowheads="1"/>
        </xdr:cNvSpPr>
      </xdr:nvSpPr>
      <xdr:spPr bwMode="auto">
        <a:xfrm>
          <a:off x="2567940" y="983742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E000000}"/>
            </a:ext>
          </a:extLst>
        </xdr:cNvPr>
        <xdr:cNvSpPr>
          <a:spLocks noChangeAspect="1" noChangeArrowheads="1"/>
        </xdr:cNvSpPr>
      </xdr:nvSpPr>
      <xdr:spPr bwMode="auto">
        <a:xfrm>
          <a:off x="2567940" y="1050036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0F000000}"/>
            </a:ext>
          </a:extLst>
        </xdr:cNvPr>
        <xdr:cNvSpPr>
          <a:spLocks noChangeAspect="1" noChangeArrowheads="1"/>
        </xdr:cNvSpPr>
      </xdr:nvSpPr>
      <xdr:spPr bwMode="auto">
        <a:xfrm>
          <a:off x="2567940" y="1050036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0000000}"/>
            </a:ext>
          </a:extLst>
        </xdr:cNvPr>
        <xdr:cNvSpPr>
          <a:spLocks noChangeAspect="1" noChangeArrowheads="1"/>
        </xdr:cNvSpPr>
      </xdr:nvSpPr>
      <xdr:spPr bwMode="auto">
        <a:xfrm>
          <a:off x="2567940" y="1068324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1000000}"/>
            </a:ext>
          </a:extLst>
        </xdr:cNvPr>
        <xdr:cNvSpPr>
          <a:spLocks noChangeAspect="1" noChangeArrowheads="1"/>
        </xdr:cNvSpPr>
      </xdr:nvSpPr>
      <xdr:spPr bwMode="auto">
        <a:xfrm>
          <a:off x="2567940" y="1068324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2000000}"/>
            </a:ext>
          </a:extLst>
        </xdr:cNvPr>
        <xdr:cNvSpPr>
          <a:spLocks noChangeAspect="1" noChangeArrowheads="1"/>
        </xdr:cNvSpPr>
      </xdr:nvSpPr>
      <xdr:spPr bwMode="auto">
        <a:xfrm>
          <a:off x="2567940" y="1086612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3000000}"/>
            </a:ext>
          </a:extLst>
        </xdr:cNvPr>
        <xdr:cNvSpPr>
          <a:spLocks noChangeAspect="1" noChangeArrowheads="1"/>
        </xdr:cNvSpPr>
      </xdr:nvSpPr>
      <xdr:spPr bwMode="auto">
        <a:xfrm>
          <a:off x="2567940" y="1086612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2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4000000}"/>
            </a:ext>
          </a:extLst>
        </xdr:cNvPr>
        <xdr:cNvSpPr>
          <a:spLocks noChangeAspect="1" noChangeArrowheads="1"/>
        </xdr:cNvSpPr>
      </xdr:nvSpPr>
      <xdr:spPr bwMode="auto">
        <a:xfrm>
          <a:off x="2567940" y="1143762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2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5000000}"/>
            </a:ext>
          </a:extLst>
        </xdr:cNvPr>
        <xdr:cNvSpPr>
          <a:spLocks noChangeAspect="1" noChangeArrowheads="1"/>
        </xdr:cNvSpPr>
      </xdr:nvSpPr>
      <xdr:spPr bwMode="auto">
        <a:xfrm>
          <a:off x="2567940" y="11437620"/>
          <a:ext cx="304800" cy="225425"/>
        </a:xfrm>
        <a:prstGeom prst="rect">
          <a:avLst/>
        </a:prstGeom>
        <a:noFill/>
      </xdr:spPr>
    </xdr:sp>
    <xdr:clientData/>
  </xdr:oneCellAnchor>
  <xdr:oneCellAnchor>
    <xdr:from>
      <xdr:col>5</xdr:col>
      <xdr:colOff>0</xdr:colOff>
      <xdr:row>5</xdr:row>
      <xdr:rowOff>0</xdr:rowOff>
    </xdr:from>
    <xdr:ext cx="304800" cy="225425"/>
    <xdr:sp macro="" textlink="">
      <xdr:nvSpPr>
        <xdr:cNvPr id="2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6000000}"/>
            </a:ext>
          </a:extLst>
        </xdr:cNvPr>
        <xdr:cNvSpPr>
          <a:spLocks noChangeAspect="1" noChangeArrowheads="1"/>
        </xdr:cNvSpPr>
      </xdr:nvSpPr>
      <xdr:spPr bwMode="auto">
        <a:xfrm>
          <a:off x="5760720" y="12169140"/>
          <a:ext cx="304800" cy="225425"/>
        </a:xfrm>
        <a:prstGeom prst="rect">
          <a:avLst/>
        </a:prstGeom>
        <a:noFill/>
      </xdr:spPr>
    </xdr:sp>
    <xdr:clientData/>
  </xdr:oneCellAnchor>
  <xdr:oneCellAnchor>
    <xdr:from>
      <xdr:col>5</xdr:col>
      <xdr:colOff>0</xdr:colOff>
      <xdr:row>5</xdr:row>
      <xdr:rowOff>0</xdr:rowOff>
    </xdr:from>
    <xdr:ext cx="304800" cy="225425"/>
    <xdr:sp macro="" textlink="">
      <xdr:nvSpPr>
        <xdr:cNvPr id="2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200-000017000000}"/>
            </a:ext>
          </a:extLst>
        </xdr:cNvPr>
        <xdr:cNvSpPr>
          <a:spLocks noChangeAspect="1" noChangeArrowheads="1"/>
        </xdr:cNvSpPr>
      </xdr:nvSpPr>
      <xdr:spPr bwMode="auto">
        <a:xfrm>
          <a:off x="5760720" y="12169140"/>
          <a:ext cx="304800" cy="225425"/>
        </a:xfrm>
        <a:prstGeom prst="rect">
          <a:avLst/>
        </a:prstGeom>
        <a:noFill/>
      </xdr:spPr>
    </xdr:sp>
    <xdr:clientData/>
  </xdr:oneCellAnchor>
  <mc:AlternateContent xmlns:mc="http://schemas.openxmlformats.org/markup-compatibility/2006">
    <mc:Choice xmlns:a14="http://schemas.microsoft.com/office/drawing/2010/main" Requires="a14">
      <xdr:twoCellAnchor editAs="oneCell">
        <xdr:from>
          <xdr:col>4</xdr:col>
          <xdr:colOff>2743200</xdr:colOff>
          <xdr:row>5</xdr:row>
          <xdr:rowOff>0</xdr:rowOff>
        </xdr:from>
        <xdr:to>
          <xdr:col>7</xdr:col>
          <xdr:colOff>914400</xdr:colOff>
          <xdr:row>6</xdr:row>
          <xdr:rowOff>167640</xdr:rowOff>
        </xdr:to>
        <xdr:sp macro="" textlink="">
          <xdr:nvSpPr>
            <xdr:cNvPr id="70663" name="Drop Down 7" hidden="1">
              <a:extLst>
                <a:ext uri="{63B3BB69-23CF-44E3-9099-C40C66FF867C}">
                  <a14:compatExt spid="_x0000_s70663"/>
                </a:ext>
                <a:ext uri="{FF2B5EF4-FFF2-40B4-BE49-F238E27FC236}">
                  <a16:creationId xmlns:a16="http://schemas.microsoft.com/office/drawing/2014/main" id="{00000000-0008-0000-0200-00000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0</xdr:col>
      <xdr:colOff>0</xdr:colOff>
      <xdr:row>0</xdr:row>
      <xdr:rowOff>0</xdr:rowOff>
    </xdr:from>
    <xdr:to>
      <xdr:col>2</xdr:col>
      <xdr:colOff>646430</xdr:colOff>
      <xdr:row>10</xdr:row>
      <xdr:rowOff>91675</xdr:rowOff>
    </xdr:to>
    <xdr:grpSp>
      <xdr:nvGrpSpPr>
        <xdr:cNvPr id="29" name="Group 28">
          <a:extLst>
            <a:ext uri="{FF2B5EF4-FFF2-40B4-BE49-F238E27FC236}">
              <a16:creationId xmlns:a16="http://schemas.microsoft.com/office/drawing/2014/main" id="{00000000-0008-0000-0200-00001D000000}"/>
            </a:ext>
          </a:extLst>
        </xdr:cNvPr>
        <xdr:cNvGrpSpPr/>
      </xdr:nvGrpSpPr>
      <xdr:grpSpPr>
        <a:xfrm>
          <a:off x="0" y="0"/>
          <a:ext cx="1935968" cy="2592598"/>
          <a:chOff x="0" y="0"/>
          <a:chExt cx="1941830" cy="2240515"/>
        </a:xfrm>
      </xdr:grpSpPr>
      <xdr:grpSp>
        <xdr:nvGrpSpPr>
          <xdr:cNvPr id="30" name="Group 29">
            <a:extLst>
              <a:ext uri="{FF2B5EF4-FFF2-40B4-BE49-F238E27FC236}">
                <a16:creationId xmlns:a16="http://schemas.microsoft.com/office/drawing/2014/main" id="{00000000-0008-0000-0200-00001E000000}"/>
              </a:ext>
            </a:extLst>
          </xdr:cNvPr>
          <xdr:cNvGrpSpPr>
            <a:grpSpLocks noChangeAspect="1"/>
          </xdr:cNvGrpSpPr>
        </xdr:nvGrpSpPr>
        <xdr:grpSpPr>
          <a:xfrm>
            <a:off x="0" y="0"/>
            <a:ext cx="1941830" cy="1750356"/>
            <a:chOff x="5080" y="0"/>
            <a:chExt cx="1940560" cy="1766898"/>
          </a:xfrm>
        </xdr:grpSpPr>
        <xdr:grpSp>
          <xdr:nvGrpSpPr>
            <xdr:cNvPr id="32" name="Group 31">
              <a:extLst>
                <a:ext uri="{FF2B5EF4-FFF2-40B4-BE49-F238E27FC236}">
                  <a16:creationId xmlns:a16="http://schemas.microsoft.com/office/drawing/2014/main" id="{00000000-0008-0000-0200-000020000000}"/>
                </a:ext>
              </a:extLst>
            </xdr:cNvPr>
            <xdr:cNvGrpSpPr>
              <a:grpSpLocks noChangeAspect="1"/>
            </xdr:cNvGrpSpPr>
          </xdr:nvGrpSpPr>
          <xdr:grpSpPr>
            <a:xfrm>
              <a:off x="339090" y="968191"/>
              <a:ext cx="1264310" cy="798707"/>
              <a:chOff x="339090" y="969669"/>
              <a:chExt cx="1264310" cy="796867"/>
            </a:xfrm>
          </xdr:grpSpPr>
          <xdr:sp macro="[0]!Nav_Inst" textlink="">
            <xdr:nvSpPr>
              <xdr:cNvPr id="34" name="TextBox 33">
                <a:extLst>
                  <a:ext uri="{FF2B5EF4-FFF2-40B4-BE49-F238E27FC236}">
                    <a16:creationId xmlns:a16="http://schemas.microsoft.com/office/drawing/2014/main" id="{00000000-0008-0000-0200-000022000000}"/>
                  </a:ext>
                </a:extLst>
              </xdr:cNvPr>
              <xdr:cNvSpPr txBox="1"/>
            </xdr:nvSpPr>
            <xdr:spPr>
              <a:xfrm>
                <a:off x="339090" y="969669"/>
                <a:ext cx="1264310" cy="303215"/>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b="0">
                    <a:solidFill>
                      <a:schemeClr val="tx2"/>
                    </a:solidFill>
                  </a:rPr>
                  <a:t>Instructions</a:t>
                </a:r>
              </a:p>
            </xdr:txBody>
          </xdr:sp>
          <xdr:sp macro="[0]!Nav_design" textlink="">
            <xdr:nvSpPr>
              <xdr:cNvPr id="35" name="TextBox 34">
                <a:extLst>
                  <a:ext uri="{FF2B5EF4-FFF2-40B4-BE49-F238E27FC236}">
                    <a16:creationId xmlns:a16="http://schemas.microsoft.com/office/drawing/2014/main" id="{00000000-0008-0000-0200-000023000000}"/>
                  </a:ext>
                </a:extLst>
              </xdr:cNvPr>
              <xdr:cNvSpPr txBox="1"/>
            </xdr:nvSpPr>
            <xdr:spPr>
              <a:xfrm>
                <a:off x="339090" y="1467002"/>
                <a:ext cx="1264310" cy="299534"/>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Cost calculator</a:t>
                </a:r>
              </a:p>
            </xdr:txBody>
          </xdr:sp>
        </xdr:grpSp>
        <xdr:pic>
          <xdr:nvPicPr>
            <xdr:cNvPr id="33" name="Picture 32">
              <a:extLst>
                <a:ext uri="{FF2B5EF4-FFF2-40B4-BE49-F238E27FC236}">
                  <a16:creationId xmlns:a16="http://schemas.microsoft.com/office/drawing/2014/main" id="{00000000-0008-0000-0200-000021000000}"/>
                </a:ext>
              </a:extLst>
            </xdr:cNvPr>
            <xdr:cNvPicPr>
              <a:picLocks noChangeAspect="1"/>
            </xdr:cNvPicPr>
          </xdr:nvPicPr>
          <xdr:blipFill>
            <a:blip xmlns:r="http://schemas.openxmlformats.org/officeDocument/2006/relationships" r:embed="rId1"/>
            <a:stretch>
              <a:fillRect/>
            </a:stretch>
          </xdr:blipFill>
          <xdr:spPr>
            <a:xfrm>
              <a:off x="5080" y="0"/>
              <a:ext cx="1940560" cy="752154"/>
            </a:xfrm>
            <a:prstGeom prst="rect">
              <a:avLst/>
            </a:prstGeom>
          </xdr:spPr>
        </xdr:pic>
      </xdr:grpSp>
      <xdr:sp macro="[0]!Nav_results" textlink="">
        <xdr:nvSpPr>
          <xdr:cNvPr id="31" name="TextBox 30">
            <a:extLst>
              <a:ext uri="{FF2B5EF4-FFF2-40B4-BE49-F238E27FC236}">
                <a16:creationId xmlns:a16="http://schemas.microsoft.com/office/drawing/2014/main" id="{00000000-0008-0000-0200-00001F000000}"/>
              </a:ext>
            </a:extLst>
          </xdr:cNvPr>
          <xdr:cNvSpPr txBox="1"/>
        </xdr:nvSpPr>
        <xdr:spPr>
          <a:xfrm>
            <a:off x="334229" y="1943100"/>
            <a:ext cx="1265137" cy="297415"/>
          </a:xfrm>
          <a:prstGeom prst="rect">
            <a:avLst/>
          </a:prstGeom>
          <a:solidFill>
            <a:srgbClr val="AFABAB"/>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Results</a:t>
            </a:r>
          </a:p>
        </xdr:txBody>
      </xdr:sp>
    </xdr:grpSp>
    <xdr:clientData/>
  </xdr:twoCellAnchor>
  <xdr:twoCellAnchor>
    <xdr:from>
      <xdr:col>9</xdr:col>
      <xdr:colOff>0</xdr:colOff>
      <xdr:row>1</xdr:row>
      <xdr:rowOff>0</xdr:rowOff>
    </xdr:from>
    <xdr:to>
      <xdr:col>10</xdr:col>
      <xdr:colOff>305017</xdr:colOff>
      <xdr:row>1</xdr:row>
      <xdr:rowOff>300824</xdr:rowOff>
    </xdr:to>
    <xdr:sp macro="[0]!restore" textlink="">
      <xdr:nvSpPr>
        <xdr:cNvPr id="24" name="TextBox 23">
          <a:extLst>
            <a:ext uri="{FF2B5EF4-FFF2-40B4-BE49-F238E27FC236}">
              <a16:creationId xmlns:a16="http://schemas.microsoft.com/office/drawing/2014/main" id="{00000000-0008-0000-0200-000018000000}"/>
            </a:ext>
          </a:extLst>
        </xdr:cNvPr>
        <xdr:cNvSpPr txBox="1"/>
      </xdr:nvSpPr>
      <xdr:spPr>
        <a:xfrm>
          <a:off x="9601200" y="184150"/>
          <a:ext cx="1263867" cy="300824"/>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b="0">
              <a:solidFill>
                <a:schemeClr val="tx2"/>
              </a:solidFill>
            </a:rPr>
            <a:t>Restore defaults</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116840</xdr:rowOff>
    </xdr:to>
    <xdr:sp macro="" textlink="">
      <xdr:nvSpPr>
        <xdr:cNvPr id="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2000000}"/>
            </a:ext>
          </a:extLst>
        </xdr:cNvPr>
        <xdr:cNvSpPr>
          <a:spLocks noChangeAspect="1" noChangeArrowheads="1"/>
        </xdr:cNvSpPr>
      </xdr:nvSpPr>
      <xdr:spPr bwMode="auto">
        <a:xfrm>
          <a:off x="7683500" y="5721350"/>
          <a:ext cx="304800" cy="301625"/>
        </a:xfrm>
        <a:prstGeom prst="rect">
          <a:avLst/>
        </a:prstGeom>
        <a:noFill/>
      </xdr:spPr>
    </xdr:sp>
    <xdr:clientData/>
  </xdr:twoCellAnchor>
  <xdr:twoCellAnchor editAs="oneCell">
    <xdr:from>
      <xdr:col>7</xdr:col>
      <xdr:colOff>0</xdr:colOff>
      <xdr:row>5</xdr:row>
      <xdr:rowOff>0</xdr:rowOff>
    </xdr:from>
    <xdr:to>
      <xdr:col>7</xdr:col>
      <xdr:colOff>304800</xdr:colOff>
      <xdr:row>6</xdr:row>
      <xdr:rowOff>116840</xdr:rowOff>
    </xdr:to>
    <xdr:sp macro="" textlink="">
      <xdr:nvSpPr>
        <xdr:cNvPr id="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3000000}"/>
            </a:ext>
          </a:extLst>
        </xdr:cNvPr>
        <xdr:cNvSpPr>
          <a:spLocks noChangeAspect="1" noChangeArrowheads="1"/>
        </xdr:cNvSpPr>
      </xdr:nvSpPr>
      <xdr:spPr bwMode="auto">
        <a:xfrm>
          <a:off x="7683500" y="5721350"/>
          <a:ext cx="304800" cy="301625"/>
        </a:xfrm>
        <a:prstGeom prst="rect">
          <a:avLst/>
        </a:prstGeom>
        <a:noFill/>
      </xdr:spPr>
    </xdr:sp>
    <xdr:clientData/>
  </xdr:twoCellAnchor>
  <xdr:twoCellAnchor editAs="oneCell">
    <xdr:from>
      <xdr:col>4</xdr:col>
      <xdr:colOff>0</xdr:colOff>
      <xdr:row>5</xdr:row>
      <xdr:rowOff>0</xdr:rowOff>
    </xdr:from>
    <xdr:to>
      <xdr:col>4</xdr:col>
      <xdr:colOff>304800</xdr:colOff>
      <xdr:row>6</xdr:row>
      <xdr:rowOff>40640</xdr:rowOff>
    </xdr:to>
    <xdr:sp macro="" textlink="">
      <xdr:nvSpPr>
        <xdr:cNvPr id="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4000000}"/>
            </a:ext>
          </a:extLst>
        </xdr:cNvPr>
        <xdr:cNvSpPr>
          <a:spLocks noChangeAspect="1" noChangeArrowheads="1"/>
        </xdr:cNvSpPr>
      </xdr:nvSpPr>
      <xdr:spPr bwMode="auto">
        <a:xfrm>
          <a:off x="2571750" y="9696450"/>
          <a:ext cx="304800" cy="225425"/>
        </a:xfrm>
        <a:prstGeom prst="rect">
          <a:avLst/>
        </a:prstGeom>
        <a:noFill/>
      </xdr:spPr>
    </xdr:sp>
    <xdr:clientData/>
  </xdr:twoCellAnchor>
  <xdr:twoCellAnchor editAs="oneCell">
    <xdr:from>
      <xdr:col>4</xdr:col>
      <xdr:colOff>0</xdr:colOff>
      <xdr:row>5</xdr:row>
      <xdr:rowOff>0</xdr:rowOff>
    </xdr:from>
    <xdr:to>
      <xdr:col>4</xdr:col>
      <xdr:colOff>304800</xdr:colOff>
      <xdr:row>6</xdr:row>
      <xdr:rowOff>40640</xdr:rowOff>
    </xdr:to>
    <xdr:sp macro="" textlink="">
      <xdr:nvSpPr>
        <xdr:cNvPr id="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5000000}"/>
            </a:ext>
          </a:extLst>
        </xdr:cNvPr>
        <xdr:cNvSpPr>
          <a:spLocks noChangeAspect="1" noChangeArrowheads="1"/>
        </xdr:cNvSpPr>
      </xdr:nvSpPr>
      <xdr:spPr bwMode="auto">
        <a:xfrm>
          <a:off x="2571750" y="9696450"/>
          <a:ext cx="304800" cy="225425"/>
        </a:xfrm>
        <a:prstGeom prst="rect">
          <a:avLst/>
        </a:prstGeom>
        <a:noFill/>
      </xdr:spPr>
    </xdr:sp>
    <xdr:clientData/>
  </xdr:twoCellAnchor>
  <xdr:oneCellAnchor>
    <xdr:from>
      <xdr:col>7</xdr:col>
      <xdr:colOff>0</xdr:colOff>
      <xdr:row>5</xdr:row>
      <xdr:rowOff>0</xdr:rowOff>
    </xdr:from>
    <xdr:ext cx="304800" cy="301625"/>
    <xdr:sp macro="" textlink="">
      <xdr:nvSpPr>
        <xdr:cNvPr id="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6000000}"/>
            </a:ext>
          </a:extLst>
        </xdr:cNvPr>
        <xdr:cNvSpPr>
          <a:spLocks noChangeAspect="1" noChangeArrowheads="1"/>
        </xdr:cNvSpPr>
      </xdr:nvSpPr>
      <xdr:spPr bwMode="auto">
        <a:xfrm>
          <a:off x="7683500" y="59055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7000000}"/>
            </a:ext>
          </a:extLst>
        </xdr:cNvPr>
        <xdr:cNvSpPr>
          <a:spLocks noChangeAspect="1" noChangeArrowheads="1"/>
        </xdr:cNvSpPr>
      </xdr:nvSpPr>
      <xdr:spPr bwMode="auto">
        <a:xfrm>
          <a:off x="7683500" y="59055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8000000}"/>
            </a:ext>
          </a:extLst>
        </xdr:cNvPr>
        <xdr:cNvSpPr>
          <a:spLocks noChangeAspect="1" noChangeArrowheads="1"/>
        </xdr:cNvSpPr>
      </xdr:nvSpPr>
      <xdr:spPr bwMode="auto">
        <a:xfrm>
          <a:off x="7683500" y="608965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9000000}"/>
            </a:ext>
          </a:extLst>
        </xdr:cNvPr>
        <xdr:cNvSpPr>
          <a:spLocks noChangeAspect="1" noChangeArrowheads="1"/>
        </xdr:cNvSpPr>
      </xdr:nvSpPr>
      <xdr:spPr bwMode="auto">
        <a:xfrm>
          <a:off x="7683500" y="608965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1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A000000}"/>
            </a:ext>
          </a:extLst>
        </xdr:cNvPr>
        <xdr:cNvSpPr>
          <a:spLocks noChangeAspect="1" noChangeArrowheads="1"/>
        </xdr:cNvSpPr>
      </xdr:nvSpPr>
      <xdr:spPr bwMode="auto">
        <a:xfrm>
          <a:off x="7683500" y="62738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1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B000000}"/>
            </a:ext>
          </a:extLst>
        </xdr:cNvPr>
        <xdr:cNvSpPr>
          <a:spLocks noChangeAspect="1" noChangeArrowheads="1"/>
        </xdr:cNvSpPr>
      </xdr:nvSpPr>
      <xdr:spPr bwMode="auto">
        <a:xfrm>
          <a:off x="7683500" y="6273800"/>
          <a:ext cx="304800" cy="301625"/>
        </a:xfrm>
        <a:prstGeom prst="rect">
          <a:avLst/>
        </a:prstGeom>
        <a:noFill/>
      </xdr:spPr>
    </xdr:sp>
    <xdr:clientData/>
  </xdr:oneCellAnchor>
  <xdr:oneCellAnchor>
    <xdr:from>
      <xdr:col>4</xdr:col>
      <xdr:colOff>0</xdr:colOff>
      <xdr:row>5</xdr:row>
      <xdr:rowOff>0</xdr:rowOff>
    </xdr:from>
    <xdr:ext cx="304800" cy="225425"/>
    <xdr:sp macro="" textlink="">
      <xdr:nvSpPr>
        <xdr:cNvPr id="1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C000000}"/>
            </a:ext>
          </a:extLst>
        </xdr:cNvPr>
        <xdr:cNvSpPr>
          <a:spLocks noChangeAspect="1" noChangeArrowheads="1"/>
        </xdr:cNvSpPr>
      </xdr:nvSpPr>
      <xdr:spPr bwMode="auto">
        <a:xfrm>
          <a:off x="2571750" y="98806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D000000}"/>
            </a:ext>
          </a:extLst>
        </xdr:cNvPr>
        <xdr:cNvSpPr>
          <a:spLocks noChangeAspect="1" noChangeArrowheads="1"/>
        </xdr:cNvSpPr>
      </xdr:nvSpPr>
      <xdr:spPr bwMode="auto">
        <a:xfrm>
          <a:off x="2571750" y="98806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E000000}"/>
            </a:ext>
          </a:extLst>
        </xdr:cNvPr>
        <xdr:cNvSpPr>
          <a:spLocks noChangeAspect="1" noChangeArrowheads="1"/>
        </xdr:cNvSpPr>
      </xdr:nvSpPr>
      <xdr:spPr bwMode="auto">
        <a:xfrm>
          <a:off x="2571750" y="105410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0F000000}"/>
            </a:ext>
          </a:extLst>
        </xdr:cNvPr>
        <xdr:cNvSpPr>
          <a:spLocks noChangeAspect="1" noChangeArrowheads="1"/>
        </xdr:cNvSpPr>
      </xdr:nvSpPr>
      <xdr:spPr bwMode="auto">
        <a:xfrm>
          <a:off x="2571750" y="105410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0000000}"/>
            </a:ext>
          </a:extLst>
        </xdr:cNvPr>
        <xdr:cNvSpPr>
          <a:spLocks noChangeAspect="1" noChangeArrowheads="1"/>
        </xdr:cNvSpPr>
      </xdr:nvSpPr>
      <xdr:spPr bwMode="auto">
        <a:xfrm>
          <a:off x="2571750" y="1072515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1000000}"/>
            </a:ext>
          </a:extLst>
        </xdr:cNvPr>
        <xdr:cNvSpPr>
          <a:spLocks noChangeAspect="1" noChangeArrowheads="1"/>
        </xdr:cNvSpPr>
      </xdr:nvSpPr>
      <xdr:spPr bwMode="auto">
        <a:xfrm>
          <a:off x="2571750" y="1072515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2000000}"/>
            </a:ext>
          </a:extLst>
        </xdr:cNvPr>
        <xdr:cNvSpPr>
          <a:spLocks noChangeAspect="1" noChangeArrowheads="1"/>
        </xdr:cNvSpPr>
      </xdr:nvSpPr>
      <xdr:spPr bwMode="auto">
        <a:xfrm>
          <a:off x="2571750" y="109093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3000000}"/>
            </a:ext>
          </a:extLst>
        </xdr:cNvPr>
        <xdr:cNvSpPr>
          <a:spLocks noChangeAspect="1" noChangeArrowheads="1"/>
        </xdr:cNvSpPr>
      </xdr:nvSpPr>
      <xdr:spPr bwMode="auto">
        <a:xfrm>
          <a:off x="2571750" y="109093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2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4000000}"/>
            </a:ext>
          </a:extLst>
        </xdr:cNvPr>
        <xdr:cNvSpPr>
          <a:spLocks noChangeAspect="1" noChangeArrowheads="1"/>
        </xdr:cNvSpPr>
      </xdr:nvSpPr>
      <xdr:spPr bwMode="auto">
        <a:xfrm>
          <a:off x="2571750" y="114808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2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5000000}"/>
            </a:ext>
          </a:extLst>
        </xdr:cNvPr>
        <xdr:cNvSpPr>
          <a:spLocks noChangeAspect="1" noChangeArrowheads="1"/>
        </xdr:cNvSpPr>
      </xdr:nvSpPr>
      <xdr:spPr bwMode="auto">
        <a:xfrm>
          <a:off x="2571750" y="11480800"/>
          <a:ext cx="304800" cy="225425"/>
        </a:xfrm>
        <a:prstGeom prst="rect">
          <a:avLst/>
        </a:prstGeom>
        <a:noFill/>
      </xdr:spPr>
    </xdr:sp>
    <xdr:clientData/>
  </xdr:oneCellAnchor>
  <xdr:oneCellAnchor>
    <xdr:from>
      <xdr:col>5</xdr:col>
      <xdr:colOff>0</xdr:colOff>
      <xdr:row>5</xdr:row>
      <xdr:rowOff>0</xdr:rowOff>
    </xdr:from>
    <xdr:ext cx="304800" cy="225425"/>
    <xdr:sp macro="" textlink="">
      <xdr:nvSpPr>
        <xdr:cNvPr id="2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6000000}"/>
            </a:ext>
          </a:extLst>
        </xdr:cNvPr>
        <xdr:cNvSpPr>
          <a:spLocks noChangeAspect="1" noChangeArrowheads="1"/>
        </xdr:cNvSpPr>
      </xdr:nvSpPr>
      <xdr:spPr bwMode="auto">
        <a:xfrm>
          <a:off x="5765800" y="12217400"/>
          <a:ext cx="304800" cy="225425"/>
        </a:xfrm>
        <a:prstGeom prst="rect">
          <a:avLst/>
        </a:prstGeom>
        <a:noFill/>
      </xdr:spPr>
    </xdr:sp>
    <xdr:clientData/>
  </xdr:oneCellAnchor>
  <xdr:oneCellAnchor>
    <xdr:from>
      <xdr:col>5</xdr:col>
      <xdr:colOff>0</xdr:colOff>
      <xdr:row>4</xdr:row>
      <xdr:rowOff>180975</xdr:rowOff>
    </xdr:from>
    <xdr:ext cx="304800" cy="225425"/>
    <xdr:sp macro="" textlink="">
      <xdr:nvSpPr>
        <xdr:cNvPr id="2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300-000017000000}"/>
            </a:ext>
          </a:extLst>
        </xdr:cNvPr>
        <xdr:cNvSpPr>
          <a:spLocks noChangeAspect="1" noChangeArrowheads="1"/>
        </xdr:cNvSpPr>
      </xdr:nvSpPr>
      <xdr:spPr bwMode="auto">
        <a:xfrm>
          <a:off x="5772150" y="1133475"/>
          <a:ext cx="304800" cy="225425"/>
        </a:xfrm>
        <a:prstGeom prst="rect">
          <a:avLst/>
        </a:prstGeom>
        <a:noFill/>
      </xdr:spPr>
    </xdr:sp>
    <xdr:clientData/>
  </xdr:oneCellAnchor>
  <mc:AlternateContent xmlns:mc="http://schemas.openxmlformats.org/markup-compatibility/2006">
    <mc:Choice xmlns:a14="http://schemas.microsoft.com/office/drawing/2010/main" Requires="a14">
      <xdr:twoCellAnchor editAs="oneCell">
        <xdr:from>
          <xdr:col>5</xdr:col>
          <xdr:colOff>876300</xdr:colOff>
          <xdr:row>6</xdr:row>
          <xdr:rowOff>60960</xdr:rowOff>
        </xdr:from>
        <xdr:to>
          <xdr:col>9</xdr:col>
          <xdr:colOff>243840</xdr:colOff>
          <xdr:row>7</xdr:row>
          <xdr:rowOff>213360</xdr:rowOff>
        </xdr:to>
        <xdr:sp macro="" textlink="">
          <xdr:nvSpPr>
            <xdr:cNvPr id="81921" name="Drop Down 1" hidden="1">
              <a:extLst>
                <a:ext uri="{63B3BB69-23CF-44E3-9099-C40C66FF867C}">
                  <a14:compatExt spid="_x0000_s81921"/>
                </a:ext>
                <a:ext uri="{FF2B5EF4-FFF2-40B4-BE49-F238E27FC236}">
                  <a16:creationId xmlns:a16="http://schemas.microsoft.com/office/drawing/2014/main" id="{00000000-0008-0000-0300-00000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0</xdr:colOff>
      <xdr:row>1</xdr:row>
      <xdr:rowOff>0</xdr:rowOff>
    </xdr:from>
    <xdr:to>
      <xdr:col>10</xdr:col>
      <xdr:colOff>305017</xdr:colOff>
      <xdr:row>1</xdr:row>
      <xdr:rowOff>302094</xdr:rowOff>
    </xdr:to>
    <xdr:sp macro="[0]!restore" textlink="">
      <xdr:nvSpPr>
        <xdr:cNvPr id="27" name="TextBox 26">
          <a:extLst>
            <a:ext uri="{FF2B5EF4-FFF2-40B4-BE49-F238E27FC236}">
              <a16:creationId xmlns:a16="http://schemas.microsoft.com/office/drawing/2014/main" id="{00000000-0008-0000-0300-00001B000000}"/>
            </a:ext>
          </a:extLst>
        </xdr:cNvPr>
        <xdr:cNvSpPr txBox="1"/>
      </xdr:nvSpPr>
      <xdr:spPr>
        <a:xfrm>
          <a:off x="9683750" y="184150"/>
          <a:ext cx="1263867" cy="302094"/>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b="0">
              <a:solidFill>
                <a:schemeClr val="tx2"/>
              </a:solidFill>
            </a:rPr>
            <a:t>Restore defaults</a:t>
          </a:r>
        </a:p>
      </xdr:txBody>
    </xdr:sp>
    <xdr:clientData/>
  </xdr:twoCellAnchor>
  <xdr:twoCellAnchor>
    <xdr:from>
      <xdr:col>0</xdr:col>
      <xdr:colOff>0</xdr:colOff>
      <xdr:row>0</xdr:row>
      <xdr:rowOff>0</xdr:rowOff>
    </xdr:from>
    <xdr:to>
      <xdr:col>2</xdr:col>
      <xdr:colOff>654897</xdr:colOff>
      <xdr:row>2</xdr:row>
      <xdr:rowOff>170632</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
        <a:stretch>
          <a:fillRect/>
        </a:stretch>
      </xdr:blipFill>
      <xdr:spPr>
        <a:xfrm>
          <a:off x="0" y="0"/>
          <a:ext cx="1967230" cy="752715"/>
        </a:xfrm>
        <a:prstGeom prst="rect">
          <a:avLst/>
        </a:prstGeom>
      </xdr:spPr>
    </xdr:pic>
    <xdr:clientData/>
  </xdr:twoCellAnchor>
  <xdr:twoCellAnchor>
    <xdr:from>
      <xdr:col>0</xdr:col>
      <xdr:colOff>275167</xdr:colOff>
      <xdr:row>4</xdr:row>
      <xdr:rowOff>116417</xdr:rowOff>
    </xdr:from>
    <xdr:to>
      <xdr:col>2</xdr:col>
      <xdr:colOff>244520</xdr:colOff>
      <xdr:row>6</xdr:row>
      <xdr:rowOff>28975</xdr:rowOff>
    </xdr:to>
    <xdr:sp macro="[0]!Nav_Inst" textlink="">
      <xdr:nvSpPr>
        <xdr:cNvPr id="26" name="TextBox 25">
          <a:extLst>
            <a:ext uri="{FF2B5EF4-FFF2-40B4-BE49-F238E27FC236}">
              <a16:creationId xmlns:a16="http://schemas.microsoft.com/office/drawing/2014/main" id="{00000000-0008-0000-0300-00001A000000}"/>
            </a:ext>
          </a:extLst>
        </xdr:cNvPr>
        <xdr:cNvSpPr txBox="1"/>
      </xdr:nvSpPr>
      <xdr:spPr>
        <a:xfrm>
          <a:off x="275167" y="1079500"/>
          <a:ext cx="1281686" cy="304142"/>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b="0">
              <a:solidFill>
                <a:schemeClr val="tx2"/>
              </a:solidFill>
            </a:rPr>
            <a:t>Instructions</a:t>
          </a:r>
        </a:p>
      </xdr:txBody>
    </xdr:sp>
    <xdr:clientData/>
  </xdr:twoCellAnchor>
  <xdr:twoCellAnchor>
    <xdr:from>
      <xdr:col>0</xdr:col>
      <xdr:colOff>275167</xdr:colOff>
      <xdr:row>7</xdr:row>
      <xdr:rowOff>43770</xdr:rowOff>
    </xdr:from>
    <xdr:to>
      <xdr:col>2</xdr:col>
      <xdr:colOff>244520</xdr:colOff>
      <xdr:row>8</xdr:row>
      <xdr:rowOff>100802</xdr:rowOff>
    </xdr:to>
    <xdr:sp macro="[0]!Nav_design" textlink="">
      <xdr:nvSpPr>
        <xdr:cNvPr id="28" name="TextBox 27">
          <a:extLst>
            <a:ext uri="{FF2B5EF4-FFF2-40B4-BE49-F238E27FC236}">
              <a16:creationId xmlns:a16="http://schemas.microsoft.com/office/drawing/2014/main" id="{00000000-0008-0000-0300-00001C000000}"/>
            </a:ext>
          </a:extLst>
        </xdr:cNvPr>
        <xdr:cNvSpPr txBox="1"/>
      </xdr:nvSpPr>
      <xdr:spPr>
        <a:xfrm>
          <a:off x="275167" y="1578353"/>
          <a:ext cx="1281686" cy="300449"/>
        </a:xfrm>
        <a:prstGeom prst="rect">
          <a:avLst/>
        </a:prstGeom>
        <a:solidFill>
          <a:srgbClr val="E6E7E8"/>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Cost calculator</a:t>
          </a:r>
        </a:p>
      </xdr:txBody>
    </xdr:sp>
    <xdr:clientData/>
  </xdr:twoCellAnchor>
  <xdr:twoCellAnchor>
    <xdr:from>
      <xdr:col>0</xdr:col>
      <xdr:colOff>275168</xdr:colOff>
      <xdr:row>9</xdr:row>
      <xdr:rowOff>115595</xdr:rowOff>
    </xdr:from>
    <xdr:to>
      <xdr:col>2</xdr:col>
      <xdr:colOff>244521</xdr:colOff>
      <xdr:row>11</xdr:row>
      <xdr:rowOff>3295</xdr:rowOff>
    </xdr:to>
    <xdr:sp macro="[0]!Nav_results" textlink="">
      <xdr:nvSpPr>
        <xdr:cNvPr id="29" name="TextBox 28">
          <a:extLst>
            <a:ext uri="{FF2B5EF4-FFF2-40B4-BE49-F238E27FC236}">
              <a16:creationId xmlns:a16="http://schemas.microsoft.com/office/drawing/2014/main" id="{00000000-0008-0000-0300-00001D000000}"/>
            </a:ext>
          </a:extLst>
        </xdr:cNvPr>
        <xdr:cNvSpPr txBox="1"/>
      </xdr:nvSpPr>
      <xdr:spPr>
        <a:xfrm>
          <a:off x="275168" y="2073512"/>
          <a:ext cx="1281686" cy="300450"/>
        </a:xfrm>
        <a:prstGeom prst="rect">
          <a:avLst/>
        </a:prstGeom>
        <a:solidFill>
          <a:srgbClr val="AFABAB"/>
        </a:solidFill>
        <a:ln>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effectLst/>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none" rtlCol="0" anchor="ctr" anchorCtr="1">
          <a:noAutofit/>
        </a:bodyPr>
        <a:lstStyle/>
        <a:p>
          <a:r>
            <a:rPr lang="en-CA" sz="1100">
              <a:solidFill>
                <a:schemeClr val="tx2"/>
              </a:solidFill>
            </a:rPr>
            <a:t>Results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7</xdr:col>
      <xdr:colOff>304800</xdr:colOff>
      <xdr:row>6</xdr:row>
      <xdr:rowOff>117475</xdr:rowOff>
    </xdr:to>
    <xdr:sp macro="" textlink="">
      <xdr:nvSpPr>
        <xdr:cNvPr id="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2000000}"/>
            </a:ext>
          </a:extLst>
        </xdr:cNvPr>
        <xdr:cNvSpPr>
          <a:spLocks noChangeAspect="1" noChangeArrowheads="1"/>
        </xdr:cNvSpPr>
      </xdr:nvSpPr>
      <xdr:spPr bwMode="auto">
        <a:xfrm>
          <a:off x="7683500" y="1181100"/>
          <a:ext cx="304800" cy="301625"/>
        </a:xfrm>
        <a:prstGeom prst="rect">
          <a:avLst/>
        </a:prstGeom>
        <a:noFill/>
      </xdr:spPr>
    </xdr:sp>
    <xdr:clientData/>
  </xdr:twoCellAnchor>
  <xdr:twoCellAnchor editAs="oneCell">
    <xdr:from>
      <xdr:col>7</xdr:col>
      <xdr:colOff>0</xdr:colOff>
      <xdr:row>5</xdr:row>
      <xdr:rowOff>0</xdr:rowOff>
    </xdr:from>
    <xdr:to>
      <xdr:col>7</xdr:col>
      <xdr:colOff>304800</xdr:colOff>
      <xdr:row>6</xdr:row>
      <xdr:rowOff>117475</xdr:rowOff>
    </xdr:to>
    <xdr:sp macro="" textlink="">
      <xdr:nvSpPr>
        <xdr:cNvPr id="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3000000}"/>
            </a:ext>
          </a:extLst>
        </xdr:cNvPr>
        <xdr:cNvSpPr>
          <a:spLocks noChangeAspect="1" noChangeArrowheads="1"/>
        </xdr:cNvSpPr>
      </xdr:nvSpPr>
      <xdr:spPr bwMode="auto">
        <a:xfrm>
          <a:off x="7683500" y="1181100"/>
          <a:ext cx="304800" cy="301625"/>
        </a:xfrm>
        <a:prstGeom prst="rect">
          <a:avLst/>
        </a:prstGeom>
        <a:noFill/>
      </xdr:spPr>
    </xdr:sp>
    <xdr:clientData/>
  </xdr:twoCellAnchor>
  <xdr:twoCellAnchor editAs="oneCell">
    <xdr:from>
      <xdr:col>4</xdr:col>
      <xdr:colOff>0</xdr:colOff>
      <xdr:row>5</xdr:row>
      <xdr:rowOff>0</xdr:rowOff>
    </xdr:from>
    <xdr:to>
      <xdr:col>4</xdr:col>
      <xdr:colOff>304800</xdr:colOff>
      <xdr:row>6</xdr:row>
      <xdr:rowOff>41275</xdr:rowOff>
    </xdr:to>
    <xdr:sp macro="" textlink="">
      <xdr:nvSpPr>
        <xdr:cNvPr id="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4000000}"/>
            </a:ext>
          </a:extLst>
        </xdr:cNvPr>
        <xdr:cNvSpPr>
          <a:spLocks noChangeAspect="1" noChangeArrowheads="1"/>
        </xdr:cNvSpPr>
      </xdr:nvSpPr>
      <xdr:spPr bwMode="auto">
        <a:xfrm>
          <a:off x="2571750" y="1181100"/>
          <a:ext cx="304800" cy="225425"/>
        </a:xfrm>
        <a:prstGeom prst="rect">
          <a:avLst/>
        </a:prstGeom>
        <a:noFill/>
      </xdr:spPr>
    </xdr:sp>
    <xdr:clientData/>
  </xdr:twoCellAnchor>
  <xdr:twoCellAnchor editAs="oneCell">
    <xdr:from>
      <xdr:col>4</xdr:col>
      <xdr:colOff>0</xdr:colOff>
      <xdr:row>5</xdr:row>
      <xdr:rowOff>0</xdr:rowOff>
    </xdr:from>
    <xdr:to>
      <xdr:col>4</xdr:col>
      <xdr:colOff>304800</xdr:colOff>
      <xdr:row>6</xdr:row>
      <xdr:rowOff>41275</xdr:rowOff>
    </xdr:to>
    <xdr:sp macro="" textlink="">
      <xdr:nvSpPr>
        <xdr:cNvPr id="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5000000}"/>
            </a:ext>
          </a:extLst>
        </xdr:cNvPr>
        <xdr:cNvSpPr>
          <a:spLocks noChangeAspect="1" noChangeArrowheads="1"/>
        </xdr:cNvSpPr>
      </xdr:nvSpPr>
      <xdr:spPr bwMode="auto">
        <a:xfrm>
          <a:off x="2571750" y="1181100"/>
          <a:ext cx="304800" cy="225425"/>
        </a:xfrm>
        <a:prstGeom prst="rect">
          <a:avLst/>
        </a:prstGeom>
        <a:noFill/>
      </xdr:spPr>
    </xdr:sp>
    <xdr:clientData/>
  </xdr:twoCellAnchor>
  <xdr:oneCellAnchor>
    <xdr:from>
      <xdr:col>7</xdr:col>
      <xdr:colOff>0</xdr:colOff>
      <xdr:row>5</xdr:row>
      <xdr:rowOff>0</xdr:rowOff>
    </xdr:from>
    <xdr:ext cx="304800" cy="301625"/>
    <xdr:sp macro="" textlink="">
      <xdr:nvSpPr>
        <xdr:cNvPr id="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6000000}"/>
            </a:ext>
          </a:extLst>
        </xdr:cNvPr>
        <xdr:cNvSpPr>
          <a:spLocks noChangeAspect="1" noChangeArrowheads="1"/>
        </xdr:cNvSpPr>
      </xdr:nvSpPr>
      <xdr:spPr bwMode="auto">
        <a:xfrm>
          <a:off x="7683500" y="11811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7000000}"/>
            </a:ext>
          </a:extLst>
        </xdr:cNvPr>
        <xdr:cNvSpPr>
          <a:spLocks noChangeAspect="1" noChangeArrowheads="1"/>
        </xdr:cNvSpPr>
      </xdr:nvSpPr>
      <xdr:spPr bwMode="auto">
        <a:xfrm>
          <a:off x="7683500" y="11811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8000000}"/>
            </a:ext>
          </a:extLst>
        </xdr:cNvPr>
        <xdr:cNvSpPr>
          <a:spLocks noChangeAspect="1" noChangeArrowheads="1"/>
        </xdr:cNvSpPr>
      </xdr:nvSpPr>
      <xdr:spPr bwMode="auto">
        <a:xfrm>
          <a:off x="7683500" y="11811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9000000}"/>
            </a:ext>
          </a:extLst>
        </xdr:cNvPr>
        <xdr:cNvSpPr>
          <a:spLocks noChangeAspect="1" noChangeArrowheads="1"/>
        </xdr:cNvSpPr>
      </xdr:nvSpPr>
      <xdr:spPr bwMode="auto">
        <a:xfrm>
          <a:off x="7683500" y="11811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1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A000000}"/>
            </a:ext>
          </a:extLst>
        </xdr:cNvPr>
        <xdr:cNvSpPr>
          <a:spLocks noChangeAspect="1" noChangeArrowheads="1"/>
        </xdr:cNvSpPr>
      </xdr:nvSpPr>
      <xdr:spPr bwMode="auto">
        <a:xfrm>
          <a:off x="7683500" y="1181100"/>
          <a:ext cx="304800" cy="301625"/>
        </a:xfrm>
        <a:prstGeom prst="rect">
          <a:avLst/>
        </a:prstGeom>
        <a:noFill/>
      </xdr:spPr>
    </xdr:sp>
    <xdr:clientData/>
  </xdr:oneCellAnchor>
  <xdr:oneCellAnchor>
    <xdr:from>
      <xdr:col>7</xdr:col>
      <xdr:colOff>0</xdr:colOff>
      <xdr:row>5</xdr:row>
      <xdr:rowOff>0</xdr:rowOff>
    </xdr:from>
    <xdr:ext cx="304800" cy="301625"/>
    <xdr:sp macro="" textlink="">
      <xdr:nvSpPr>
        <xdr:cNvPr id="1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B000000}"/>
            </a:ext>
          </a:extLst>
        </xdr:cNvPr>
        <xdr:cNvSpPr>
          <a:spLocks noChangeAspect="1" noChangeArrowheads="1"/>
        </xdr:cNvSpPr>
      </xdr:nvSpPr>
      <xdr:spPr bwMode="auto">
        <a:xfrm>
          <a:off x="7683500" y="1181100"/>
          <a:ext cx="304800" cy="301625"/>
        </a:xfrm>
        <a:prstGeom prst="rect">
          <a:avLst/>
        </a:prstGeom>
        <a:noFill/>
      </xdr:spPr>
    </xdr:sp>
    <xdr:clientData/>
  </xdr:oneCellAnchor>
  <xdr:oneCellAnchor>
    <xdr:from>
      <xdr:col>4</xdr:col>
      <xdr:colOff>0</xdr:colOff>
      <xdr:row>5</xdr:row>
      <xdr:rowOff>0</xdr:rowOff>
    </xdr:from>
    <xdr:ext cx="304800" cy="225425"/>
    <xdr:sp macro="" textlink="">
      <xdr:nvSpPr>
        <xdr:cNvPr id="1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C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D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E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0F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0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1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2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1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3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2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4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4</xdr:col>
      <xdr:colOff>0</xdr:colOff>
      <xdr:row>5</xdr:row>
      <xdr:rowOff>0</xdr:rowOff>
    </xdr:from>
    <xdr:ext cx="304800" cy="225425"/>
    <xdr:sp macro="" textlink="">
      <xdr:nvSpPr>
        <xdr:cNvPr id="2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5000000}"/>
            </a:ext>
          </a:extLst>
        </xdr:cNvPr>
        <xdr:cNvSpPr>
          <a:spLocks noChangeAspect="1" noChangeArrowheads="1"/>
        </xdr:cNvSpPr>
      </xdr:nvSpPr>
      <xdr:spPr bwMode="auto">
        <a:xfrm>
          <a:off x="2571750" y="1181100"/>
          <a:ext cx="304800" cy="225425"/>
        </a:xfrm>
        <a:prstGeom prst="rect">
          <a:avLst/>
        </a:prstGeom>
        <a:noFill/>
      </xdr:spPr>
    </xdr:sp>
    <xdr:clientData/>
  </xdr:oneCellAnchor>
  <xdr:oneCellAnchor>
    <xdr:from>
      <xdr:col>5</xdr:col>
      <xdr:colOff>0</xdr:colOff>
      <xdr:row>5</xdr:row>
      <xdr:rowOff>0</xdr:rowOff>
    </xdr:from>
    <xdr:ext cx="304800" cy="225425"/>
    <xdr:sp macro="" textlink="">
      <xdr:nvSpPr>
        <xdr:cNvPr id="2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6000000}"/>
            </a:ext>
          </a:extLst>
        </xdr:cNvPr>
        <xdr:cNvSpPr>
          <a:spLocks noChangeAspect="1" noChangeArrowheads="1"/>
        </xdr:cNvSpPr>
      </xdr:nvSpPr>
      <xdr:spPr bwMode="auto">
        <a:xfrm>
          <a:off x="5765800" y="1181100"/>
          <a:ext cx="304800" cy="225425"/>
        </a:xfrm>
        <a:prstGeom prst="rect">
          <a:avLst/>
        </a:prstGeom>
        <a:noFill/>
      </xdr:spPr>
    </xdr:sp>
    <xdr:clientData/>
  </xdr:oneCellAnchor>
  <xdr:oneCellAnchor>
    <xdr:from>
      <xdr:col>5</xdr:col>
      <xdr:colOff>0</xdr:colOff>
      <xdr:row>5</xdr:row>
      <xdr:rowOff>0</xdr:rowOff>
    </xdr:from>
    <xdr:ext cx="304800" cy="225425"/>
    <xdr:sp macro="" textlink="">
      <xdr:nvSpPr>
        <xdr:cNvPr id="2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500-000017000000}"/>
            </a:ext>
          </a:extLst>
        </xdr:cNvPr>
        <xdr:cNvSpPr>
          <a:spLocks noChangeAspect="1" noChangeArrowheads="1"/>
        </xdr:cNvSpPr>
      </xdr:nvSpPr>
      <xdr:spPr bwMode="auto">
        <a:xfrm>
          <a:off x="5765800" y="1181100"/>
          <a:ext cx="304800" cy="225425"/>
        </a:xfrm>
        <a:prstGeom prst="rect">
          <a:avLst/>
        </a:prstGeom>
        <a:noFill/>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22</xdr:row>
      <xdr:rowOff>0</xdr:rowOff>
    </xdr:from>
    <xdr:to>
      <xdr:col>7</xdr:col>
      <xdr:colOff>304800</xdr:colOff>
      <xdr:row>23</xdr:row>
      <xdr:rowOff>117475</xdr:rowOff>
    </xdr:to>
    <xdr:sp macro="" textlink="">
      <xdr:nvSpPr>
        <xdr:cNvPr id="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2000000}"/>
            </a:ext>
          </a:extLst>
        </xdr:cNvPr>
        <xdr:cNvSpPr>
          <a:spLocks noChangeAspect="1" noChangeArrowheads="1"/>
        </xdr:cNvSpPr>
      </xdr:nvSpPr>
      <xdr:spPr bwMode="auto">
        <a:xfrm>
          <a:off x="7715250" y="5721350"/>
          <a:ext cx="304800" cy="301625"/>
        </a:xfrm>
        <a:prstGeom prst="rect">
          <a:avLst/>
        </a:prstGeom>
        <a:noFill/>
      </xdr:spPr>
    </xdr:sp>
    <xdr:clientData/>
  </xdr:twoCellAnchor>
  <xdr:twoCellAnchor editAs="oneCell">
    <xdr:from>
      <xdr:col>7</xdr:col>
      <xdr:colOff>0</xdr:colOff>
      <xdr:row>22</xdr:row>
      <xdr:rowOff>0</xdr:rowOff>
    </xdr:from>
    <xdr:to>
      <xdr:col>7</xdr:col>
      <xdr:colOff>304800</xdr:colOff>
      <xdr:row>23</xdr:row>
      <xdr:rowOff>117475</xdr:rowOff>
    </xdr:to>
    <xdr:sp macro="" textlink="">
      <xdr:nvSpPr>
        <xdr:cNvPr id="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3000000}"/>
            </a:ext>
          </a:extLst>
        </xdr:cNvPr>
        <xdr:cNvSpPr>
          <a:spLocks noChangeAspect="1" noChangeArrowheads="1"/>
        </xdr:cNvSpPr>
      </xdr:nvSpPr>
      <xdr:spPr bwMode="auto">
        <a:xfrm>
          <a:off x="7715250" y="5721350"/>
          <a:ext cx="304800" cy="301625"/>
        </a:xfrm>
        <a:prstGeom prst="rect">
          <a:avLst/>
        </a:prstGeom>
        <a:noFill/>
      </xdr:spPr>
    </xdr:sp>
    <xdr:clientData/>
  </xdr:twoCellAnchor>
  <xdr:twoCellAnchor editAs="oneCell">
    <xdr:from>
      <xdr:col>4</xdr:col>
      <xdr:colOff>0</xdr:colOff>
      <xdr:row>49</xdr:row>
      <xdr:rowOff>0</xdr:rowOff>
    </xdr:from>
    <xdr:to>
      <xdr:col>4</xdr:col>
      <xdr:colOff>304800</xdr:colOff>
      <xdr:row>50</xdr:row>
      <xdr:rowOff>41275</xdr:rowOff>
    </xdr:to>
    <xdr:sp macro="" textlink="">
      <xdr:nvSpPr>
        <xdr:cNvPr id="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4000000}"/>
            </a:ext>
          </a:extLst>
        </xdr:cNvPr>
        <xdr:cNvSpPr>
          <a:spLocks noChangeAspect="1" noChangeArrowheads="1"/>
        </xdr:cNvSpPr>
      </xdr:nvSpPr>
      <xdr:spPr bwMode="auto">
        <a:xfrm>
          <a:off x="2571750" y="11398250"/>
          <a:ext cx="304800" cy="225425"/>
        </a:xfrm>
        <a:prstGeom prst="rect">
          <a:avLst/>
        </a:prstGeom>
        <a:noFill/>
      </xdr:spPr>
    </xdr:sp>
    <xdr:clientData/>
  </xdr:twoCellAnchor>
  <xdr:twoCellAnchor editAs="oneCell">
    <xdr:from>
      <xdr:col>4</xdr:col>
      <xdr:colOff>0</xdr:colOff>
      <xdr:row>49</xdr:row>
      <xdr:rowOff>0</xdr:rowOff>
    </xdr:from>
    <xdr:to>
      <xdr:col>4</xdr:col>
      <xdr:colOff>304800</xdr:colOff>
      <xdr:row>50</xdr:row>
      <xdr:rowOff>41275</xdr:rowOff>
    </xdr:to>
    <xdr:sp macro="" textlink="">
      <xdr:nvSpPr>
        <xdr:cNvPr id="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5000000}"/>
            </a:ext>
          </a:extLst>
        </xdr:cNvPr>
        <xdr:cNvSpPr>
          <a:spLocks noChangeAspect="1" noChangeArrowheads="1"/>
        </xdr:cNvSpPr>
      </xdr:nvSpPr>
      <xdr:spPr bwMode="auto">
        <a:xfrm>
          <a:off x="2571750" y="11398250"/>
          <a:ext cx="304800" cy="225425"/>
        </a:xfrm>
        <a:prstGeom prst="rect">
          <a:avLst/>
        </a:prstGeom>
        <a:noFill/>
      </xdr:spPr>
    </xdr:sp>
    <xdr:clientData/>
  </xdr:twoCellAnchor>
  <xdr:oneCellAnchor>
    <xdr:from>
      <xdr:col>7</xdr:col>
      <xdr:colOff>0</xdr:colOff>
      <xdr:row>23</xdr:row>
      <xdr:rowOff>0</xdr:rowOff>
    </xdr:from>
    <xdr:ext cx="304800" cy="301625"/>
    <xdr:sp macro="" textlink="">
      <xdr:nvSpPr>
        <xdr:cNvPr id="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6000000}"/>
            </a:ext>
          </a:extLst>
        </xdr:cNvPr>
        <xdr:cNvSpPr>
          <a:spLocks noChangeAspect="1" noChangeArrowheads="1"/>
        </xdr:cNvSpPr>
      </xdr:nvSpPr>
      <xdr:spPr bwMode="auto">
        <a:xfrm>
          <a:off x="7715250" y="5905500"/>
          <a:ext cx="304800" cy="301625"/>
        </a:xfrm>
        <a:prstGeom prst="rect">
          <a:avLst/>
        </a:prstGeom>
        <a:noFill/>
      </xdr:spPr>
    </xdr:sp>
    <xdr:clientData/>
  </xdr:oneCellAnchor>
  <xdr:oneCellAnchor>
    <xdr:from>
      <xdr:col>7</xdr:col>
      <xdr:colOff>0</xdr:colOff>
      <xdr:row>23</xdr:row>
      <xdr:rowOff>0</xdr:rowOff>
    </xdr:from>
    <xdr:ext cx="304800" cy="301625"/>
    <xdr:sp macro="" textlink="">
      <xdr:nvSpPr>
        <xdr:cNvPr id="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7000000}"/>
            </a:ext>
          </a:extLst>
        </xdr:cNvPr>
        <xdr:cNvSpPr>
          <a:spLocks noChangeAspect="1" noChangeArrowheads="1"/>
        </xdr:cNvSpPr>
      </xdr:nvSpPr>
      <xdr:spPr bwMode="auto">
        <a:xfrm>
          <a:off x="7715250" y="5905500"/>
          <a:ext cx="304800" cy="301625"/>
        </a:xfrm>
        <a:prstGeom prst="rect">
          <a:avLst/>
        </a:prstGeom>
        <a:noFill/>
      </xdr:spPr>
    </xdr:sp>
    <xdr:clientData/>
  </xdr:oneCellAnchor>
  <xdr:oneCellAnchor>
    <xdr:from>
      <xdr:col>7</xdr:col>
      <xdr:colOff>0</xdr:colOff>
      <xdr:row>24</xdr:row>
      <xdr:rowOff>0</xdr:rowOff>
    </xdr:from>
    <xdr:ext cx="304800" cy="301625"/>
    <xdr:sp macro="" textlink="">
      <xdr:nvSpPr>
        <xdr:cNvPr id="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8000000}"/>
            </a:ext>
          </a:extLst>
        </xdr:cNvPr>
        <xdr:cNvSpPr>
          <a:spLocks noChangeAspect="1" noChangeArrowheads="1"/>
        </xdr:cNvSpPr>
      </xdr:nvSpPr>
      <xdr:spPr bwMode="auto">
        <a:xfrm>
          <a:off x="7715250" y="6089650"/>
          <a:ext cx="304800" cy="301625"/>
        </a:xfrm>
        <a:prstGeom prst="rect">
          <a:avLst/>
        </a:prstGeom>
        <a:noFill/>
      </xdr:spPr>
    </xdr:sp>
    <xdr:clientData/>
  </xdr:oneCellAnchor>
  <xdr:oneCellAnchor>
    <xdr:from>
      <xdr:col>7</xdr:col>
      <xdr:colOff>0</xdr:colOff>
      <xdr:row>24</xdr:row>
      <xdr:rowOff>0</xdr:rowOff>
    </xdr:from>
    <xdr:ext cx="304800" cy="301625"/>
    <xdr:sp macro="" textlink="">
      <xdr:nvSpPr>
        <xdr:cNvPr id="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9000000}"/>
            </a:ext>
          </a:extLst>
        </xdr:cNvPr>
        <xdr:cNvSpPr>
          <a:spLocks noChangeAspect="1" noChangeArrowheads="1"/>
        </xdr:cNvSpPr>
      </xdr:nvSpPr>
      <xdr:spPr bwMode="auto">
        <a:xfrm>
          <a:off x="7715250" y="6089650"/>
          <a:ext cx="304800" cy="301625"/>
        </a:xfrm>
        <a:prstGeom prst="rect">
          <a:avLst/>
        </a:prstGeom>
        <a:noFill/>
      </xdr:spPr>
    </xdr:sp>
    <xdr:clientData/>
  </xdr:oneCellAnchor>
  <xdr:oneCellAnchor>
    <xdr:from>
      <xdr:col>7</xdr:col>
      <xdr:colOff>0</xdr:colOff>
      <xdr:row>25</xdr:row>
      <xdr:rowOff>0</xdr:rowOff>
    </xdr:from>
    <xdr:ext cx="304800" cy="301625"/>
    <xdr:sp macro="" textlink="">
      <xdr:nvSpPr>
        <xdr:cNvPr id="1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A000000}"/>
            </a:ext>
          </a:extLst>
        </xdr:cNvPr>
        <xdr:cNvSpPr>
          <a:spLocks noChangeAspect="1" noChangeArrowheads="1"/>
        </xdr:cNvSpPr>
      </xdr:nvSpPr>
      <xdr:spPr bwMode="auto">
        <a:xfrm>
          <a:off x="7715250" y="6273800"/>
          <a:ext cx="304800" cy="301625"/>
        </a:xfrm>
        <a:prstGeom prst="rect">
          <a:avLst/>
        </a:prstGeom>
        <a:noFill/>
      </xdr:spPr>
    </xdr:sp>
    <xdr:clientData/>
  </xdr:oneCellAnchor>
  <xdr:oneCellAnchor>
    <xdr:from>
      <xdr:col>7</xdr:col>
      <xdr:colOff>0</xdr:colOff>
      <xdr:row>25</xdr:row>
      <xdr:rowOff>0</xdr:rowOff>
    </xdr:from>
    <xdr:ext cx="304800" cy="301625"/>
    <xdr:sp macro="" textlink="">
      <xdr:nvSpPr>
        <xdr:cNvPr id="1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B000000}"/>
            </a:ext>
          </a:extLst>
        </xdr:cNvPr>
        <xdr:cNvSpPr>
          <a:spLocks noChangeAspect="1" noChangeArrowheads="1"/>
        </xdr:cNvSpPr>
      </xdr:nvSpPr>
      <xdr:spPr bwMode="auto">
        <a:xfrm>
          <a:off x="7715250" y="6273800"/>
          <a:ext cx="304800" cy="301625"/>
        </a:xfrm>
        <a:prstGeom prst="rect">
          <a:avLst/>
        </a:prstGeom>
        <a:noFill/>
      </xdr:spPr>
    </xdr:sp>
    <xdr:clientData/>
  </xdr:oneCellAnchor>
  <xdr:oneCellAnchor>
    <xdr:from>
      <xdr:col>4</xdr:col>
      <xdr:colOff>0</xdr:colOff>
      <xdr:row>51</xdr:row>
      <xdr:rowOff>0</xdr:rowOff>
    </xdr:from>
    <xdr:ext cx="304800" cy="225425"/>
    <xdr:sp macro="" textlink="">
      <xdr:nvSpPr>
        <xdr:cNvPr id="1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C000000}"/>
            </a:ext>
          </a:extLst>
        </xdr:cNvPr>
        <xdr:cNvSpPr>
          <a:spLocks noChangeAspect="1" noChangeArrowheads="1"/>
        </xdr:cNvSpPr>
      </xdr:nvSpPr>
      <xdr:spPr bwMode="auto">
        <a:xfrm>
          <a:off x="2571750" y="11582400"/>
          <a:ext cx="304800" cy="225425"/>
        </a:xfrm>
        <a:prstGeom prst="rect">
          <a:avLst/>
        </a:prstGeom>
        <a:noFill/>
      </xdr:spPr>
    </xdr:sp>
    <xdr:clientData/>
  </xdr:oneCellAnchor>
  <xdr:oneCellAnchor>
    <xdr:from>
      <xdr:col>4</xdr:col>
      <xdr:colOff>0</xdr:colOff>
      <xdr:row>51</xdr:row>
      <xdr:rowOff>0</xdr:rowOff>
    </xdr:from>
    <xdr:ext cx="304800" cy="225425"/>
    <xdr:sp macro="" textlink="">
      <xdr:nvSpPr>
        <xdr:cNvPr id="1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D000000}"/>
            </a:ext>
          </a:extLst>
        </xdr:cNvPr>
        <xdr:cNvSpPr>
          <a:spLocks noChangeAspect="1" noChangeArrowheads="1"/>
        </xdr:cNvSpPr>
      </xdr:nvSpPr>
      <xdr:spPr bwMode="auto">
        <a:xfrm>
          <a:off x="2571750" y="11582400"/>
          <a:ext cx="304800" cy="225425"/>
        </a:xfrm>
        <a:prstGeom prst="rect">
          <a:avLst/>
        </a:prstGeom>
        <a:noFill/>
      </xdr:spPr>
    </xdr:sp>
    <xdr:clientData/>
  </xdr:oneCellAnchor>
  <xdr:oneCellAnchor>
    <xdr:from>
      <xdr:col>4</xdr:col>
      <xdr:colOff>0</xdr:colOff>
      <xdr:row>52</xdr:row>
      <xdr:rowOff>0</xdr:rowOff>
    </xdr:from>
    <xdr:ext cx="304800" cy="225425"/>
    <xdr:sp macro="" textlink="">
      <xdr:nvSpPr>
        <xdr:cNvPr id="1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E000000}"/>
            </a:ext>
          </a:extLst>
        </xdr:cNvPr>
        <xdr:cNvSpPr>
          <a:spLocks noChangeAspect="1" noChangeArrowheads="1"/>
        </xdr:cNvSpPr>
      </xdr:nvSpPr>
      <xdr:spPr bwMode="auto">
        <a:xfrm>
          <a:off x="2571750" y="12242800"/>
          <a:ext cx="304800" cy="225425"/>
        </a:xfrm>
        <a:prstGeom prst="rect">
          <a:avLst/>
        </a:prstGeom>
        <a:noFill/>
      </xdr:spPr>
    </xdr:sp>
    <xdr:clientData/>
  </xdr:oneCellAnchor>
  <xdr:oneCellAnchor>
    <xdr:from>
      <xdr:col>4</xdr:col>
      <xdr:colOff>0</xdr:colOff>
      <xdr:row>52</xdr:row>
      <xdr:rowOff>0</xdr:rowOff>
    </xdr:from>
    <xdr:ext cx="304800" cy="225425"/>
    <xdr:sp macro="" textlink="">
      <xdr:nvSpPr>
        <xdr:cNvPr id="1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0F000000}"/>
            </a:ext>
          </a:extLst>
        </xdr:cNvPr>
        <xdr:cNvSpPr>
          <a:spLocks noChangeAspect="1" noChangeArrowheads="1"/>
        </xdr:cNvSpPr>
      </xdr:nvSpPr>
      <xdr:spPr bwMode="auto">
        <a:xfrm>
          <a:off x="2571750" y="12242800"/>
          <a:ext cx="304800" cy="225425"/>
        </a:xfrm>
        <a:prstGeom prst="rect">
          <a:avLst/>
        </a:prstGeom>
        <a:noFill/>
      </xdr:spPr>
    </xdr:sp>
    <xdr:clientData/>
  </xdr:oneCellAnchor>
  <xdr:oneCellAnchor>
    <xdr:from>
      <xdr:col>4</xdr:col>
      <xdr:colOff>0</xdr:colOff>
      <xdr:row>53</xdr:row>
      <xdr:rowOff>0</xdr:rowOff>
    </xdr:from>
    <xdr:ext cx="304800" cy="225425"/>
    <xdr:sp macro="" textlink="">
      <xdr:nvSpPr>
        <xdr:cNvPr id="1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0000000}"/>
            </a:ext>
          </a:extLst>
        </xdr:cNvPr>
        <xdr:cNvSpPr>
          <a:spLocks noChangeAspect="1" noChangeArrowheads="1"/>
        </xdr:cNvSpPr>
      </xdr:nvSpPr>
      <xdr:spPr bwMode="auto">
        <a:xfrm>
          <a:off x="2571750" y="12426950"/>
          <a:ext cx="304800" cy="225425"/>
        </a:xfrm>
        <a:prstGeom prst="rect">
          <a:avLst/>
        </a:prstGeom>
        <a:noFill/>
      </xdr:spPr>
    </xdr:sp>
    <xdr:clientData/>
  </xdr:oneCellAnchor>
  <xdr:oneCellAnchor>
    <xdr:from>
      <xdr:col>4</xdr:col>
      <xdr:colOff>0</xdr:colOff>
      <xdr:row>53</xdr:row>
      <xdr:rowOff>0</xdr:rowOff>
    </xdr:from>
    <xdr:ext cx="304800" cy="225425"/>
    <xdr:sp macro="" textlink="">
      <xdr:nvSpPr>
        <xdr:cNvPr id="1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1000000}"/>
            </a:ext>
          </a:extLst>
        </xdr:cNvPr>
        <xdr:cNvSpPr>
          <a:spLocks noChangeAspect="1" noChangeArrowheads="1"/>
        </xdr:cNvSpPr>
      </xdr:nvSpPr>
      <xdr:spPr bwMode="auto">
        <a:xfrm>
          <a:off x="2571750" y="12426950"/>
          <a:ext cx="304800" cy="225425"/>
        </a:xfrm>
        <a:prstGeom prst="rect">
          <a:avLst/>
        </a:prstGeom>
        <a:noFill/>
      </xdr:spPr>
    </xdr:sp>
    <xdr:clientData/>
  </xdr:oneCellAnchor>
  <xdr:oneCellAnchor>
    <xdr:from>
      <xdr:col>4</xdr:col>
      <xdr:colOff>0</xdr:colOff>
      <xdr:row>55</xdr:row>
      <xdr:rowOff>0</xdr:rowOff>
    </xdr:from>
    <xdr:ext cx="304800" cy="225425"/>
    <xdr:sp macro="" textlink="">
      <xdr:nvSpPr>
        <xdr:cNvPr id="18"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2000000}"/>
            </a:ext>
          </a:extLst>
        </xdr:cNvPr>
        <xdr:cNvSpPr>
          <a:spLocks noChangeAspect="1" noChangeArrowheads="1"/>
        </xdr:cNvSpPr>
      </xdr:nvSpPr>
      <xdr:spPr bwMode="auto">
        <a:xfrm>
          <a:off x="2571750" y="12795250"/>
          <a:ext cx="304800" cy="225425"/>
        </a:xfrm>
        <a:prstGeom prst="rect">
          <a:avLst/>
        </a:prstGeom>
        <a:noFill/>
      </xdr:spPr>
    </xdr:sp>
    <xdr:clientData/>
  </xdr:oneCellAnchor>
  <xdr:oneCellAnchor>
    <xdr:from>
      <xdr:col>4</xdr:col>
      <xdr:colOff>0</xdr:colOff>
      <xdr:row>55</xdr:row>
      <xdr:rowOff>0</xdr:rowOff>
    </xdr:from>
    <xdr:ext cx="304800" cy="225425"/>
    <xdr:sp macro="" textlink="">
      <xdr:nvSpPr>
        <xdr:cNvPr id="19"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3000000}"/>
            </a:ext>
          </a:extLst>
        </xdr:cNvPr>
        <xdr:cNvSpPr>
          <a:spLocks noChangeAspect="1" noChangeArrowheads="1"/>
        </xdr:cNvSpPr>
      </xdr:nvSpPr>
      <xdr:spPr bwMode="auto">
        <a:xfrm>
          <a:off x="2571750" y="12795250"/>
          <a:ext cx="304800" cy="225425"/>
        </a:xfrm>
        <a:prstGeom prst="rect">
          <a:avLst/>
        </a:prstGeom>
        <a:noFill/>
      </xdr:spPr>
    </xdr:sp>
    <xdr:clientData/>
  </xdr:oneCellAnchor>
  <xdr:oneCellAnchor>
    <xdr:from>
      <xdr:col>4</xdr:col>
      <xdr:colOff>0</xdr:colOff>
      <xdr:row>56</xdr:row>
      <xdr:rowOff>0</xdr:rowOff>
    </xdr:from>
    <xdr:ext cx="304800" cy="225425"/>
    <xdr:sp macro="" textlink="">
      <xdr:nvSpPr>
        <xdr:cNvPr id="20"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4000000}"/>
            </a:ext>
          </a:extLst>
        </xdr:cNvPr>
        <xdr:cNvSpPr>
          <a:spLocks noChangeAspect="1" noChangeArrowheads="1"/>
        </xdr:cNvSpPr>
      </xdr:nvSpPr>
      <xdr:spPr bwMode="auto">
        <a:xfrm>
          <a:off x="2571750" y="12979400"/>
          <a:ext cx="304800" cy="225425"/>
        </a:xfrm>
        <a:prstGeom prst="rect">
          <a:avLst/>
        </a:prstGeom>
        <a:noFill/>
      </xdr:spPr>
    </xdr:sp>
    <xdr:clientData/>
  </xdr:oneCellAnchor>
  <xdr:oneCellAnchor>
    <xdr:from>
      <xdr:col>4</xdr:col>
      <xdr:colOff>0</xdr:colOff>
      <xdr:row>56</xdr:row>
      <xdr:rowOff>0</xdr:rowOff>
    </xdr:from>
    <xdr:ext cx="304800" cy="225425"/>
    <xdr:sp macro="" textlink="">
      <xdr:nvSpPr>
        <xdr:cNvPr id="21"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5000000}"/>
            </a:ext>
          </a:extLst>
        </xdr:cNvPr>
        <xdr:cNvSpPr>
          <a:spLocks noChangeAspect="1" noChangeArrowheads="1"/>
        </xdr:cNvSpPr>
      </xdr:nvSpPr>
      <xdr:spPr bwMode="auto">
        <a:xfrm>
          <a:off x="2571750" y="12979400"/>
          <a:ext cx="304800" cy="225425"/>
        </a:xfrm>
        <a:prstGeom prst="rect">
          <a:avLst/>
        </a:prstGeom>
        <a:noFill/>
      </xdr:spPr>
    </xdr:sp>
    <xdr:clientData/>
  </xdr:oneCellAnchor>
  <xdr:oneCellAnchor>
    <xdr:from>
      <xdr:col>5</xdr:col>
      <xdr:colOff>0</xdr:colOff>
      <xdr:row>69</xdr:row>
      <xdr:rowOff>0</xdr:rowOff>
    </xdr:from>
    <xdr:ext cx="304800" cy="225425"/>
    <xdr:sp macro="" textlink="">
      <xdr:nvSpPr>
        <xdr:cNvPr id="22"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6000000}"/>
            </a:ext>
          </a:extLst>
        </xdr:cNvPr>
        <xdr:cNvSpPr>
          <a:spLocks noChangeAspect="1" noChangeArrowheads="1"/>
        </xdr:cNvSpPr>
      </xdr:nvSpPr>
      <xdr:spPr bwMode="auto">
        <a:xfrm>
          <a:off x="5765800" y="15760700"/>
          <a:ext cx="304800" cy="225425"/>
        </a:xfrm>
        <a:prstGeom prst="rect">
          <a:avLst/>
        </a:prstGeom>
        <a:noFill/>
      </xdr:spPr>
    </xdr:sp>
    <xdr:clientData/>
  </xdr:oneCellAnchor>
  <xdr:oneCellAnchor>
    <xdr:from>
      <xdr:col>5</xdr:col>
      <xdr:colOff>0</xdr:colOff>
      <xdr:row>69</xdr:row>
      <xdr:rowOff>0</xdr:rowOff>
    </xdr:from>
    <xdr:ext cx="304800" cy="225425"/>
    <xdr:sp macro="" textlink="">
      <xdr:nvSpPr>
        <xdr:cNvPr id="23"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7000000}"/>
            </a:ext>
          </a:extLst>
        </xdr:cNvPr>
        <xdr:cNvSpPr>
          <a:spLocks noChangeAspect="1" noChangeArrowheads="1"/>
        </xdr:cNvSpPr>
      </xdr:nvSpPr>
      <xdr:spPr bwMode="auto">
        <a:xfrm>
          <a:off x="5765800" y="15760700"/>
          <a:ext cx="304800" cy="225425"/>
        </a:xfrm>
        <a:prstGeom prst="rect">
          <a:avLst/>
        </a:prstGeom>
        <a:noFill/>
      </xdr:spPr>
    </xdr:sp>
    <xdr:clientData/>
  </xdr:oneCellAnchor>
  <mc:AlternateContent xmlns:mc="http://schemas.openxmlformats.org/markup-compatibility/2006">
    <mc:Choice xmlns:a14="http://schemas.microsoft.com/office/drawing/2010/main" Requires="a14">
      <xdr:twoCellAnchor editAs="oneCell">
        <xdr:from>
          <xdr:col>5</xdr:col>
          <xdr:colOff>739140</xdr:colOff>
          <xdr:row>117</xdr:row>
          <xdr:rowOff>68580</xdr:rowOff>
        </xdr:from>
        <xdr:to>
          <xdr:col>9</xdr:col>
          <xdr:colOff>76200</xdr:colOff>
          <xdr:row>118</xdr:row>
          <xdr:rowOff>228600</xdr:rowOff>
        </xdr:to>
        <xdr:sp macro="" textlink="">
          <xdr:nvSpPr>
            <xdr:cNvPr id="80900" name="Drop Down 4" hidden="1">
              <a:extLst>
                <a:ext uri="{63B3BB69-23CF-44E3-9099-C40C66FF867C}">
                  <a14:compatExt spid="_x0000_s80900"/>
                </a:ext>
                <a:ext uri="{FF2B5EF4-FFF2-40B4-BE49-F238E27FC236}">
                  <a16:creationId xmlns:a16="http://schemas.microsoft.com/office/drawing/2014/main" id="{00000000-0008-0000-0600-000004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2583180</xdr:colOff>
          <xdr:row>168</xdr:row>
          <xdr:rowOff>15240</xdr:rowOff>
        </xdr:from>
        <xdr:to>
          <xdr:col>7</xdr:col>
          <xdr:colOff>723900</xdr:colOff>
          <xdr:row>169</xdr:row>
          <xdr:rowOff>190500</xdr:rowOff>
        </xdr:to>
        <xdr:sp macro="" textlink="">
          <xdr:nvSpPr>
            <xdr:cNvPr id="80901" name="Drop Down 5" hidden="1">
              <a:extLst>
                <a:ext uri="{63B3BB69-23CF-44E3-9099-C40C66FF867C}">
                  <a14:compatExt spid="_x0000_s80901"/>
                </a:ext>
                <a:ext uri="{FF2B5EF4-FFF2-40B4-BE49-F238E27FC236}">
                  <a16:creationId xmlns:a16="http://schemas.microsoft.com/office/drawing/2014/main" id="{00000000-0008-0000-0600-000005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90</xdr:row>
          <xdr:rowOff>144780</xdr:rowOff>
        </xdr:from>
        <xdr:to>
          <xdr:col>4</xdr:col>
          <xdr:colOff>2057400</xdr:colOff>
          <xdr:row>92</xdr:row>
          <xdr:rowOff>38100</xdr:rowOff>
        </xdr:to>
        <xdr:sp macro="" textlink="">
          <xdr:nvSpPr>
            <xdr:cNvPr id="80903" name="Check Box 7" hidden="1">
              <a:extLst>
                <a:ext uri="{63B3BB69-23CF-44E3-9099-C40C66FF867C}">
                  <a14:compatExt spid="_x0000_s80903"/>
                </a:ext>
                <a:ext uri="{FF2B5EF4-FFF2-40B4-BE49-F238E27FC236}">
                  <a16:creationId xmlns:a16="http://schemas.microsoft.com/office/drawing/2014/main" id="{00000000-0008-0000-0600-000007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91</xdr:row>
          <xdr:rowOff>144780</xdr:rowOff>
        </xdr:from>
        <xdr:to>
          <xdr:col>4</xdr:col>
          <xdr:colOff>2057400</xdr:colOff>
          <xdr:row>93</xdr:row>
          <xdr:rowOff>38100</xdr:rowOff>
        </xdr:to>
        <xdr:sp macro="" textlink="">
          <xdr:nvSpPr>
            <xdr:cNvPr id="80904" name="Check Box 8" hidden="1">
              <a:extLst>
                <a:ext uri="{63B3BB69-23CF-44E3-9099-C40C66FF867C}">
                  <a14:compatExt spid="_x0000_s80904"/>
                </a:ext>
                <a:ext uri="{FF2B5EF4-FFF2-40B4-BE49-F238E27FC236}">
                  <a16:creationId xmlns:a16="http://schemas.microsoft.com/office/drawing/2014/main" id="{00000000-0008-0000-0600-000008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92</xdr:row>
          <xdr:rowOff>152400</xdr:rowOff>
        </xdr:from>
        <xdr:to>
          <xdr:col>4</xdr:col>
          <xdr:colOff>2057400</xdr:colOff>
          <xdr:row>94</xdr:row>
          <xdr:rowOff>38100</xdr:rowOff>
        </xdr:to>
        <xdr:sp macro="" textlink="">
          <xdr:nvSpPr>
            <xdr:cNvPr id="80905" name="Check Box 9" hidden="1">
              <a:extLst>
                <a:ext uri="{63B3BB69-23CF-44E3-9099-C40C66FF867C}">
                  <a14:compatExt spid="_x0000_s80905"/>
                </a:ext>
                <a:ext uri="{FF2B5EF4-FFF2-40B4-BE49-F238E27FC236}">
                  <a16:creationId xmlns:a16="http://schemas.microsoft.com/office/drawing/2014/main" id="{00000000-0008-0000-0600-000009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93</xdr:row>
          <xdr:rowOff>152400</xdr:rowOff>
        </xdr:from>
        <xdr:to>
          <xdr:col>4</xdr:col>
          <xdr:colOff>2057400</xdr:colOff>
          <xdr:row>95</xdr:row>
          <xdr:rowOff>38100</xdr:rowOff>
        </xdr:to>
        <xdr:sp macro="" textlink="">
          <xdr:nvSpPr>
            <xdr:cNvPr id="80906" name="Check Box 10" hidden="1">
              <a:extLst>
                <a:ext uri="{63B3BB69-23CF-44E3-9099-C40C66FF867C}">
                  <a14:compatExt spid="_x0000_s80906"/>
                </a:ext>
                <a:ext uri="{FF2B5EF4-FFF2-40B4-BE49-F238E27FC236}">
                  <a16:creationId xmlns:a16="http://schemas.microsoft.com/office/drawing/2014/main" id="{00000000-0008-0000-0600-00000A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94</xdr:row>
          <xdr:rowOff>160020</xdr:rowOff>
        </xdr:from>
        <xdr:to>
          <xdr:col>4</xdr:col>
          <xdr:colOff>2057400</xdr:colOff>
          <xdr:row>96</xdr:row>
          <xdr:rowOff>38100</xdr:rowOff>
        </xdr:to>
        <xdr:sp macro="" textlink="">
          <xdr:nvSpPr>
            <xdr:cNvPr id="80907" name="Check Box 11" hidden="1">
              <a:extLst>
                <a:ext uri="{63B3BB69-23CF-44E3-9099-C40C66FF867C}">
                  <a14:compatExt spid="_x0000_s80907"/>
                </a:ext>
                <a:ext uri="{FF2B5EF4-FFF2-40B4-BE49-F238E27FC236}">
                  <a16:creationId xmlns:a16="http://schemas.microsoft.com/office/drawing/2014/main" id="{00000000-0008-0000-0600-00000B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1188720</xdr:colOff>
          <xdr:row>95</xdr:row>
          <xdr:rowOff>160020</xdr:rowOff>
        </xdr:from>
        <xdr:to>
          <xdr:col>4</xdr:col>
          <xdr:colOff>2057400</xdr:colOff>
          <xdr:row>97</xdr:row>
          <xdr:rowOff>38100</xdr:rowOff>
        </xdr:to>
        <xdr:sp macro="" textlink="">
          <xdr:nvSpPr>
            <xdr:cNvPr id="80908" name="Check Box 12" hidden="1">
              <a:extLst>
                <a:ext uri="{63B3BB69-23CF-44E3-9099-C40C66FF867C}">
                  <a14:compatExt spid="_x0000_s80908"/>
                </a:ext>
                <a:ext uri="{FF2B5EF4-FFF2-40B4-BE49-F238E27FC236}">
                  <a16:creationId xmlns:a16="http://schemas.microsoft.com/office/drawing/2014/main" id="{00000000-0008-0000-0600-00000C3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922020</xdr:colOff>
          <xdr:row>148</xdr:row>
          <xdr:rowOff>68580</xdr:rowOff>
        </xdr:from>
        <xdr:to>
          <xdr:col>9</xdr:col>
          <xdr:colOff>259080</xdr:colOff>
          <xdr:row>150</xdr:row>
          <xdr:rowOff>38100</xdr:rowOff>
        </xdr:to>
        <xdr:sp macro="" textlink="">
          <xdr:nvSpPr>
            <xdr:cNvPr id="80910" name="Drop Down 14" hidden="1">
              <a:extLst>
                <a:ext uri="{63B3BB69-23CF-44E3-9099-C40C66FF867C}">
                  <a14:compatExt spid="_x0000_s80910"/>
                </a:ext>
                <a:ext uri="{FF2B5EF4-FFF2-40B4-BE49-F238E27FC236}">
                  <a16:creationId xmlns:a16="http://schemas.microsoft.com/office/drawing/2014/main" id="{00000000-0008-0000-0600-00000E3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7</xdr:col>
      <xdr:colOff>0</xdr:colOff>
      <xdr:row>25</xdr:row>
      <xdr:rowOff>0</xdr:rowOff>
    </xdr:from>
    <xdr:ext cx="304800" cy="301625"/>
    <xdr:sp macro="" textlink="">
      <xdr:nvSpPr>
        <xdr:cNvPr id="24"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8000000}"/>
            </a:ext>
          </a:extLst>
        </xdr:cNvPr>
        <xdr:cNvSpPr>
          <a:spLocks noChangeAspect="1" noChangeArrowheads="1"/>
        </xdr:cNvSpPr>
      </xdr:nvSpPr>
      <xdr:spPr bwMode="auto">
        <a:xfrm>
          <a:off x="7727950" y="6051550"/>
          <a:ext cx="304800" cy="301625"/>
        </a:xfrm>
        <a:prstGeom prst="rect">
          <a:avLst/>
        </a:prstGeom>
        <a:noFill/>
      </xdr:spPr>
    </xdr:sp>
    <xdr:clientData/>
  </xdr:oneCellAnchor>
  <xdr:oneCellAnchor>
    <xdr:from>
      <xdr:col>7</xdr:col>
      <xdr:colOff>0</xdr:colOff>
      <xdr:row>25</xdr:row>
      <xdr:rowOff>0</xdr:rowOff>
    </xdr:from>
    <xdr:ext cx="304800" cy="301625"/>
    <xdr:sp macro="" textlink="">
      <xdr:nvSpPr>
        <xdr:cNvPr id="25"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9000000}"/>
            </a:ext>
          </a:extLst>
        </xdr:cNvPr>
        <xdr:cNvSpPr>
          <a:spLocks noChangeAspect="1" noChangeArrowheads="1"/>
        </xdr:cNvSpPr>
      </xdr:nvSpPr>
      <xdr:spPr bwMode="auto">
        <a:xfrm>
          <a:off x="7727950" y="6051550"/>
          <a:ext cx="304800" cy="301625"/>
        </a:xfrm>
        <a:prstGeom prst="rect">
          <a:avLst/>
        </a:prstGeom>
        <a:noFill/>
      </xdr:spPr>
    </xdr:sp>
    <xdr:clientData/>
  </xdr:oneCellAnchor>
  <xdr:oneCellAnchor>
    <xdr:from>
      <xdr:col>7</xdr:col>
      <xdr:colOff>0</xdr:colOff>
      <xdr:row>26</xdr:row>
      <xdr:rowOff>0</xdr:rowOff>
    </xdr:from>
    <xdr:ext cx="304800" cy="301625"/>
    <xdr:sp macro="" textlink="">
      <xdr:nvSpPr>
        <xdr:cNvPr id="26"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A000000}"/>
            </a:ext>
          </a:extLst>
        </xdr:cNvPr>
        <xdr:cNvSpPr>
          <a:spLocks noChangeAspect="1" noChangeArrowheads="1"/>
        </xdr:cNvSpPr>
      </xdr:nvSpPr>
      <xdr:spPr bwMode="auto">
        <a:xfrm>
          <a:off x="7727950" y="6235700"/>
          <a:ext cx="304800" cy="301625"/>
        </a:xfrm>
        <a:prstGeom prst="rect">
          <a:avLst/>
        </a:prstGeom>
        <a:noFill/>
      </xdr:spPr>
    </xdr:sp>
    <xdr:clientData/>
  </xdr:oneCellAnchor>
  <xdr:oneCellAnchor>
    <xdr:from>
      <xdr:col>7</xdr:col>
      <xdr:colOff>0</xdr:colOff>
      <xdr:row>26</xdr:row>
      <xdr:rowOff>0</xdr:rowOff>
    </xdr:from>
    <xdr:ext cx="304800" cy="301625"/>
    <xdr:sp macro="" textlink="">
      <xdr:nvSpPr>
        <xdr:cNvPr id="27" name="AutoShape 4" descr="data:image/jpeg;base64,/9j/4AAQSkZJRgABAQAAAQABAAD/2wCEAAkGBwgHBgkIBwgKCgkLDRYPDQwMDRsUFRAWIB0iIiAdHx8kKDQsJCYxJx8fLT0tMTU3Ojo6Iys/RD84QzQ5OjcBCgoKDQwNGg8PGjclHyU3Nzc3Nzc3Nzc3Nzc3Nzc3Nzc3Nzc3Nzc3Nzc3Nzc3Nzc3Nzc3Nzc3Nzc3Nzc3Nzc3N//AABEIAHEAlwMBEQACEQEDEQH/xAAbAAEAAgMBAQAAAAAAAAAAAAAABAUBAwYCB//EAD8QAAEDAwIEBAMCCwgDAAAAAAECAwQABRESIQYTMUEiUWFxFDKBQpEVFiNUVWKSk6HB0iVDUlNygoPhJEVG/8QAGQEBAAMBAQAAAAAAAAAAAAAAAAIDBAEF/8QAMhEAAgIBAgMHAwMDBQAAAAAAAAECAxESMSFBUQQTIjJhobFSccGBkeEUM/AjQmLR8f/aAAwDAQACEQMRAD8A+40AoBQCgFAKAUAoBQCgFAKAUAoBQCgFAKAUAoBQCgFAKAUAoDBIFAalSmEqKVPNhQ7FQBruGc1LqY+Ni/nDX7YppfQ5qj1Hxkb84a/bFNMug1R6gS45OA82T5BYphjVHqbs1wkZoBQCgFAKAUAoBQCgFAKAUANAchxrxFJtq40S2aVSlOIW4D2RqwAf9R2rV2alTy5bGLtd7hiMNyj4lt0C4OQuI2MIjytLchwthQaX0SVJPXfwn6VdTOUE6uhnvrrm1ctmb24Votiks8TcOw2Uk4TPjtlTK/fun67VFzsms1z/AEe5JQrhwth+q2MvQ7JPdMfhnh2HMWDhcpxBSwj69VewopWRWbZ49OZ1xqnwpgn68iNw5Z4Me4y7zKU2qLbMpDyGwhCnB82lI7J6DzNTusnKCr5yK6KoRnK3lEuuEOJZNwuEqLc0hpx1alxhj7IxlHuMg/WqO0UKEVKBp7N2hzk4z4dDsRWU2maAUAoBQCgFAKAUAoBQCgId0nM22C/Mkqw0ygqVjv6e9SjFzkormQsmoRcnyOInQn27Gi5XAf8Anz7hHccB6tI1jSgew/ia2KSc9Edkn8cTDKDUNct2188CzXGat16k2qWkKtN41KZHZt7HiT6Z6j1qvLnBTXmj8E9KhN1y8svnmZtsh1FoulkuR1yoLKglat+c1g6FfdsfUUklrjbHZ/JKGe7lVPdfHIjszHY/BdkgWzAuE+O221j7GU5Us+gqUop3TlLZMgpSVEIw3aPa4DMqZE4bhjFut6UOzj/mHqlB9SfEa4puMXdLd7fkOClJUx8q3IzNtdmx7y9BIROh3Vb0ZQ8wlOU+xG1SdmhwUtmuJFQc1Nx3T4fsjrbHc2rvbGJrPhCx4kHqhQ6pPqDWWyDrk4s21WKyCkiwqBYKAUAoBQCgFAKAUAoDBOKA4jie7Q5F6ZizHP7PhLC3UJGpUh/7DaUjc46n6VsprkoOUd37epgvsjKaTfBe76G+ZEvnE6BzEotUJCw4yhxOt1a0nKSodEjONqjGVVL+p+xKULbt/Cvci3uZIVb12/idkRV6gqPc2CSyHBulR7pOfPapVQWtSq4+hCyUnHRdwfJmuc+7dLKi9R04uVvQtiY0g/OgjCh69lCpRShPu35Xt9yMpOyrvVutzTw86bZYUcQzUlx0RW4lvaPdIAG3qpQJ9q7ctdndR65ZGh6K++l0wiRYpz7MMxLCwLhcHlcyXOWcMhw9fF9rHkKjbFOWbXhckTpm0tNSy3u+RLjW+/8ADynpLKmbo2+4XpLKU8tzX3KOx6dDUJTqtSi/D8FihdTmS8Wd/wCCNZb1DjcQOfCqUiHcVgOsuJ0Kjycdx2CgBv51KyuTr8W8fdEK7oRt4cFL2Z3STkVjPQM0AoBQCgFAKAUAoBQHh35DgnOD060OM+axm+Fmn3X415uaXiVFx1KVagSd99O1eg3e0k4o8tLs+ptSZIL9hP8A9Lfc+XMc/prmm36ES1U/WzPPsJBT+MV7WCMFCitQx7FNccbPpX+fqdTpf+9lhwdHsLM6UizTZTyij8sy6MJA7bYGKh2h3aU5rBPs0aVJ922z3xnGsTqoTN5lyIzaQeQ2yPCdsdgd8bVzsztWe7O9qjS8Kx4KsO2BCQhPEN6bCRshBWgAewTVuLfpRXmlLCkwX7AevEt9P/I5/TTTb9CGafrZomtcLSSh2Zebm4oEBLjiTqznsrTmpQfaI+VIhNdmk/FJn0aJgxmiFLUNAwVjxHbv61573PUjsbq4dFAKAUAoBQCgFAKAwRQHB3uzswuJW3Q45EauCsNymTpLMjyPYpV5HvW2uyUqsb45eh51tShdnZPn0ZOdvV2sA0XyF8a0SENSoiRlSj0SpJ6Env0qCrrt41vHoybtsq4WRz6ojXY3N63vz7+78BAQPBAir/KOk7BK1juTtgVKGhS0V8X16HLO8w52cF0IpacsHD4iMIS3eLoFLWEdGUAZP0Snb3qeVZZqflj7/wDpXp7qrSvNL/PY12ptXEPDKbRKIM+Kw3JhuO760FPhJ8+pSaWYqs1rZ8GK131WiXmXFEuyC5JgNzrC7z2s6ZFsmLyWlj5koWd0n0OahY4atFnD1ROpT06quPoyY3fbredcey274VxtWiQ/MAwyruAkfMR91R7qFfiseemOZLvrLfDVHD555FdEsbU/icNOvuzkwcLmSXj87vVLaQNgB1OPSrHc41cOGdkQjSp24bzjdnfpGAMVhPRM0AoBQCgFAKAUAoBQCgK+92xu7W5+G7kcweBY6oUPlUPUHep1zcJKSK7a1ZBxZyNxuTs7h1lmaNM+HcY7MlH6wWMKHoRvWqMFGxtbNMxSsc6lGW6ayWUt1F4v6y8oC1WY8x1X2XH8ZA9kg596rSddfDzS+C2TVlnHyx+TTb2nLhEunEExBSqUwtuKg/3bABx9T1rs/BKNS5b/AHIwTnGVsue32I7cV5rhWw3m3I1TIMVtSkD++ZKRqR/Me1S1J3Trls37kdMlTCyO6XtzJSZTNsvEe6xFA2m8hIdUDs279lXpnofUCo6XODg/NH4J6lCanHyy+SNFuZtcS/OMIC5b1zU1GbH23CAAP51KVetwT2wRVmhTxu3w/Y6Xh21JtFsRHJ1vKJcfcPVxw/MTWe2zvJZNVNfdwwWlVlooBQCgFAKAUAoBQCgFADQHE8cWWU6+zPtTep5xxpt5A6KwsFKvof4Vs7NZFZjP1MHa6p5UoemSvvzsW1xYfDSFOOg/lp3K3W9k50+6lb79AKspUpt3P9Cq5wriqF92WCW5N6SlN2uMa228AAQIz41qT2C19vYVVwr8ibl1ZdiVnnlpj0MiO/Y8fi9dI0mIP/XynwQkfqL6j2O1Mq3+5F56o5h1f25JroyvsMmDMcm8OPpcaiywVx2XR4mFdVIHoDggirLYzilbu1uVVTjNumWz2JnB9inJucmXeE7xnlBjyWsgAufcBj61HtFsdKUOaLOy0z1t2ctjuBWI9AzQCgFAKAUAoBQCgFAKAUAoDGmgK2Tw9aJT65Em3RXXlnKlrbBKverFbZFYTKZUVSepx4mn8VbB+h4X7lNd7+36mc/pafpQ/FXh/wDQ0H9ymu/1Fv1Mf0tP0o2McOWWO8h5i2RW3UHKFpaAKT6Gou6xrDkzq7PVF5UUWgSBVeC4zQCgFAKAUAoDmplxuTnFKbTHfZYY+E5/M5epXXGNzjtWiMIKnW1l5wZpWTd2hcFg38M3h+4RpRncoGPJUwl9GyHgMbjP3dajdWoNaeZ2i1zT1cmWDkmR8dHQwlhcRaFFx3m+JJHTA7+tVpLS87lrlLUsbGu6XeNb7bJmqWHkx05UhtQz7V2EHOSiuZGy1Qg5b4JKZbPJbdW6hsOAEalAde1RcWngmpJpMrrhcpMfiG1wkcsx5aHSrbxZQE43/wB1WRgnXKXNYKp2SVsYrZ5/BnimdMt9nel28oLzZThC051ZIGOu3WlEYzmoy2HaJyhW3HcjjiRLvDQubDeqQoFtMfO/O6aD9evpUu5as0Pb8EX2hd1rW/5N3CVzkXWxRZ01xrmvgq0oTpAGSO59K5fWq7HGPIl2exzrUpcy2W+02nUt1CU5xkqA3qlJsubSMqdbQnUtxKQehKgBTcZSMCQyXOXzUa/8OoZ+6u4YyupRcV3p+0fg9LS2mUSpHKckvJyloY64yOtXUVKzPoZ+0WuvGObJ1sNxQ4/+EJDD7BCVMPNJ0ZHcEZP35quWh408GWQ18dT4ExMuOv5ZDRwCo4WDsKjhk9SPTrqghXK0qc0koSVYz/1Rb8Q30KNV4nNXO0R5YjNIlMuLfCVaghSQNgrpjerlXFwk1yKHbJTinzN16ur8OVafhlsqjy5PKcUd9tJOQenauV1qSlnkiVtrhKKWzZcNuodRqbWlSfNJBFUlyeTjbsqCeOMXVA+EVb+WpTyDy1K1k4zjFa4au48O+TFY4u/E9sFG9GLkF1Bad/BX4WZMFLiFZDYPjKQdwir9WJZb8WHkzuPhax4dSwXl2iQIPEduSxHDMdMOQlfw7fQKGQBjbJ3xVEJSlXLLy8ovsjCFsUlhYZSLjITZ7pAaZZnMswAWJbbOlaRnZCx3UOvn1rQppzjPOMviihx/05RxnC4MtLaq2ou8p65ttmGuK2mEpbX5PQB40p2xq1de5qmetwSjvnj9y6GhTbmuGOH2I9lTJZm8OpkJWgp+L5QcScttqKeWFeWw6Hyqdji4zx6fnJCpSjKGfX8YLq/G4s2Z4XSREd1La5aYzC0nIWCc5UrO1Z69Dn4U+Zot7xQev02MuWOPEmXC7ofJivNF5LONkuqSUqWPcY/jXVc5KMOf4DpUZSs5fk5+1xzC4Wsl7Zja5ltJbeaUjClIUogp37jUCK0WNStnW3wZlrjophYlxj+c/wDZIk25VvusQyWY7bLsZaua80VMokLVlZIHfScDPl1qCmpQeOvsTlXoksrl7syxarUbzZIqWlSoaWH0lT7Rwo5GO2AOuBTvLNE5Pg+B1VV95COMrDPcBtiHxIwmC23KZfmLK2nGSH4awCCoK/wbYGe2K5JuVb1cGl+4glG1aVlNv7r9Tpb5PgMlqFdWSqNKSoFakFSBjGysdOvWs1cZPxRfFGu2cE9M1wOIcYcRFmRoHxD/AA63NYVlSVEBGcrCe5QNq3KWZKUuE8P+Dz3HEXGPGGV/JuvUWHLkcQC1MNutm2MrQlhHzKCz0A77VyqTioOT5v4JXRUnYorkvknLfgyeI+e2klldnW0twtqCVKynCckdcA7VWlJV4f1E24u3P/FkS2uRmU8JiaNLTMR1LvMbOlBOnAORjtU7MvvNO7aIwaXd6tsGpCUxzEceZU3b13px5kLaVpSzpIydtgT513Oc4fHSRxjTlcNR0nCrX9rXt+K2UW551HJwnSlawPGpI8um/es9z8EE9zV2deObWzOmKc9cGsxqwNNDo00A0D0+6hzBgoB22x5UO4RnT7UA00AIyO1AQ59uTOVHDrqw0y6HS2nGHCOmr0B3+lSjLTkhOtSx6Esoz1qJNmdNAAgZztQYBQDQDR7YoMFc1aA1fHrqJCyt1lLJa0jSEgkjHfuasdjcNBUqkrHZncsdI9KrLTBQDsQMeVEcwZ0ih0acdNhQHqgFAKAUAoBQCgFAKAUAoBQCgFAKAUAoBQCgFAKAUAoBQCgFAKAUAoBQCgFAKAUAoBQCgFAf/9k=">
          <a:extLst>
            <a:ext uri="{FF2B5EF4-FFF2-40B4-BE49-F238E27FC236}">
              <a16:creationId xmlns:a16="http://schemas.microsoft.com/office/drawing/2014/main" id="{00000000-0008-0000-0600-00001B000000}"/>
            </a:ext>
          </a:extLst>
        </xdr:cNvPr>
        <xdr:cNvSpPr>
          <a:spLocks noChangeAspect="1" noChangeArrowheads="1"/>
        </xdr:cNvSpPr>
      </xdr:nvSpPr>
      <xdr:spPr bwMode="auto">
        <a:xfrm>
          <a:off x="7727950" y="6235700"/>
          <a:ext cx="304800" cy="301625"/>
        </a:xfrm>
        <a:prstGeom prst="rect">
          <a:avLst/>
        </a:prstGeom>
        <a:noFill/>
      </xdr:spPr>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14</xdr:row>
      <xdr:rowOff>0</xdr:rowOff>
    </xdr:from>
    <xdr:to>
      <xdr:col>2</xdr:col>
      <xdr:colOff>421968</xdr:colOff>
      <xdr:row>17</xdr:row>
      <xdr:rowOff>38151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609600" y="2560320"/>
          <a:ext cx="3779848" cy="586791"/>
        </a:xfrm>
        <a:prstGeom prst="rect">
          <a:avLst/>
        </a:prstGeom>
      </xdr:spPr>
    </xdr:pic>
    <xdr:clientData/>
  </xdr:twoCellAnchor>
  <xdr:twoCellAnchor editAs="oneCell">
    <xdr:from>
      <xdr:col>0</xdr:col>
      <xdr:colOff>541020</xdr:colOff>
      <xdr:row>17</xdr:row>
      <xdr:rowOff>175260</xdr:rowOff>
    </xdr:from>
    <xdr:to>
      <xdr:col>4</xdr:col>
      <xdr:colOff>339567</xdr:colOff>
      <xdr:row>28</xdr:row>
      <xdr:rowOff>34452</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2"/>
        <a:stretch>
          <a:fillRect/>
        </a:stretch>
      </xdr:blipFill>
      <xdr:spPr>
        <a:xfrm>
          <a:off x="541020" y="3284220"/>
          <a:ext cx="5509737" cy="1867062"/>
        </a:xfrm>
        <a:prstGeom prst="rect">
          <a:avLst/>
        </a:prstGeom>
      </xdr:spPr>
    </xdr:pic>
    <xdr:clientData/>
  </xdr:twoCellAnchor>
  <xdr:twoCellAnchor editAs="oneCell">
    <xdr:from>
      <xdr:col>0</xdr:col>
      <xdr:colOff>533400</xdr:colOff>
      <xdr:row>29</xdr:row>
      <xdr:rowOff>0</xdr:rowOff>
    </xdr:from>
    <xdr:to>
      <xdr:col>4</xdr:col>
      <xdr:colOff>587241</xdr:colOff>
      <xdr:row>35</xdr:row>
      <xdr:rowOff>40739</xdr:rowOff>
    </xdr:to>
    <xdr:pic>
      <xdr:nvPicPr>
        <xdr:cNvPr id="6" name="Picture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stretch>
          <a:fillRect/>
        </a:stretch>
      </xdr:blipFill>
      <xdr:spPr>
        <a:xfrm>
          <a:off x="533400" y="5303520"/>
          <a:ext cx="5784081" cy="1143099"/>
        </a:xfrm>
        <a:prstGeom prst="rect">
          <a:avLst/>
        </a:prstGeom>
      </xdr:spPr>
    </xdr:pic>
    <xdr:clientData/>
  </xdr:twoCellAnchor>
  <xdr:twoCellAnchor editAs="oneCell">
    <xdr:from>
      <xdr:col>0</xdr:col>
      <xdr:colOff>565150</xdr:colOff>
      <xdr:row>39</xdr:row>
      <xdr:rowOff>152400</xdr:rowOff>
    </xdr:from>
    <xdr:to>
      <xdr:col>2</xdr:col>
      <xdr:colOff>834757</xdr:colOff>
      <xdr:row>44</xdr:row>
      <xdr:rowOff>116917</xdr:rowOff>
    </xdr:to>
    <xdr:pic>
      <xdr:nvPicPr>
        <xdr:cNvPr id="7" name="Picture 6">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4"/>
        <a:stretch>
          <a:fillRect/>
        </a:stretch>
      </xdr:blipFill>
      <xdr:spPr>
        <a:xfrm>
          <a:off x="565150" y="7334250"/>
          <a:ext cx="4225657" cy="885267"/>
        </a:xfrm>
        <a:prstGeom prst="rect">
          <a:avLst/>
        </a:prstGeom>
      </xdr:spPr>
    </xdr:pic>
    <xdr:clientData/>
  </xdr:twoCellAnchor>
  <xdr:twoCellAnchor editAs="oneCell">
    <xdr:from>
      <xdr:col>1</xdr:col>
      <xdr:colOff>0</xdr:colOff>
      <xdr:row>45</xdr:row>
      <xdr:rowOff>0</xdr:rowOff>
    </xdr:from>
    <xdr:to>
      <xdr:col>6</xdr:col>
      <xdr:colOff>305375</xdr:colOff>
      <xdr:row>56</xdr:row>
      <xdr:rowOff>40819</xdr:rowOff>
    </xdr:to>
    <xdr:pic>
      <xdr:nvPicPr>
        <xdr:cNvPr id="9" name="Picture 8">
          <a:extLst>
            <a:ext uri="{FF2B5EF4-FFF2-40B4-BE49-F238E27FC236}">
              <a16:creationId xmlns:a16="http://schemas.microsoft.com/office/drawing/2014/main" id="{00000000-0008-0000-0700-000009000000}"/>
            </a:ext>
          </a:extLst>
        </xdr:cNvPr>
        <xdr:cNvPicPr>
          <a:picLocks noChangeAspect="1"/>
        </xdr:cNvPicPr>
      </xdr:nvPicPr>
      <xdr:blipFill>
        <a:blip xmlns:r="http://schemas.openxmlformats.org/officeDocument/2006/relationships" r:embed="rId5"/>
        <a:stretch>
          <a:fillRect/>
        </a:stretch>
      </xdr:blipFill>
      <xdr:spPr>
        <a:xfrm>
          <a:off x="609600" y="7498080"/>
          <a:ext cx="6629975" cy="2065199"/>
        </a:xfrm>
        <a:prstGeom prst="rect">
          <a:avLst/>
        </a:prstGeom>
      </xdr:spPr>
    </xdr:pic>
    <xdr:clientData/>
  </xdr:twoCellAnchor>
  <xdr:twoCellAnchor editAs="oneCell">
    <xdr:from>
      <xdr:col>1</xdr:col>
      <xdr:colOff>0</xdr:colOff>
      <xdr:row>59</xdr:row>
      <xdr:rowOff>0</xdr:rowOff>
    </xdr:from>
    <xdr:to>
      <xdr:col>7</xdr:col>
      <xdr:colOff>457841</xdr:colOff>
      <xdr:row>74</xdr:row>
      <xdr:rowOff>117089</xdr:rowOff>
    </xdr:to>
    <xdr:pic>
      <xdr:nvPicPr>
        <xdr:cNvPr id="11" name="Picture 10">
          <a:extLst>
            <a:ext uri="{FF2B5EF4-FFF2-40B4-BE49-F238E27FC236}">
              <a16:creationId xmlns:a16="http://schemas.microsoft.com/office/drawing/2014/main" id="{00000000-0008-0000-0700-00000B000000}"/>
            </a:ext>
          </a:extLst>
        </xdr:cNvPr>
        <xdr:cNvPicPr>
          <a:picLocks noChangeAspect="1"/>
        </xdr:cNvPicPr>
      </xdr:nvPicPr>
      <xdr:blipFill>
        <a:blip xmlns:r="http://schemas.openxmlformats.org/officeDocument/2006/relationships" r:embed="rId6"/>
        <a:stretch>
          <a:fillRect/>
        </a:stretch>
      </xdr:blipFill>
      <xdr:spPr>
        <a:xfrm>
          <a:off x="609600" y="10058400"/>
          <a:ext cx="7392041" cy="2872989"/>
        </a:xfrm>
        <a:prstGeom prst="rect">
          <a:avLst/>
        </a:prstGeom>
      </xdr:spPr>
    </xdr:pic>
    <xdr:clientData/>
  </xdr:twoCellAnchor>
  <xdr:twoCellAnchor editAs="oneCell">
    <xdr:from>
      <xdr:col>1</xdr:col>
      <xdr:colOff>0</xdr:colOff>
      <xdr:row>87</xdr:row>
      <xdr:rowOff>0</xdr:rowOff>
    </xdr:from>
    <xdr:to>
      <xdr:col>3</xdr:col>
      <xdr:colOff>72785</xdr:colOff>
      <xdr:row>91</xdr:row>
      <xdr:rowOff>110563</xdr:rowOff>
    </xdr:to>
    <xdr:pic>
      <xdr:nvPicPr>
        <xdr:cNvPr id="12" name="Picture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7"/>
        <a:stretch>
          <a:fillRect/>
        </a:stretch>
      </xdr:blipFill>
      <xdr:spPr>
        <a:xfrm>
          <a:off x="609600" y="13533120"/>
          <a:ext cx="4557155" cy="838273"/>
        </a:xfrm>
        <a:prstGeom prst="rect">
          <a:avLst/>
        </a:prstGeom>
      </xdr:spPr>
    </xdr:pic>
    <xdr:clientData/>
  </xdr:twoCellAnchor>
  <xdr:twoCellAnchor editAs="oneCell">
    <xdr:from>
      <xdr:col>1</xdr:col>
      <xdr:colOff>0</xdr:colOff>
      <xdr:row>96</xdr:row>
      <xdr:rowOff>0</xdr:rowOff>
    </xdr:from>
    <xdr:to>
      <xdr:col>5</xdr:col>
      <xdr:colOff>348506</xdr:colOff>
      <xdr:row>114</xdr:row>
      <xdr:rowOff>162862</xdr:rowOff>
    </xdr:to>
    <xdr:pic>
      <xdr:nvPicPr>
        <xdr:cNvPr id="3" name="Picture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8"/>
        <a:stretch>
          <a:fillRect/>
        </a:stretch>
      </xdr:blipFill>
      <xdr:spPr>
        <a:xfrm>
          <a:off x="609600" y="17678400"/>
          <a:ext cx="6066046" cy="3482642"/>
        </a:xfrm>
        <a:prstGeom prst="rect">
          <a:avLst/>
        </a:prstGeom>
      </xdr:spPr>
    </xdr:pic>
    <xdr:clientData/>
  </xdr:twoCellAnchor>
  <xdr:twoCellAnchor editAs="oneCell">
    <xdr:from>
      <xdr:col>7</xdr:col>
      <xdr:colOff>0</xdr:colOff>
      <xdr:row>96</xdr:row>
      <xdr:rowOff>0</xdr:rowOff>
    </xdr:from>
    <xdr:to>
      <xdr:col>17</xdr:col>
      <xdr:colOff>239309</xdr:colOff>
      <xdr:row>104</xdr:row>
      <xdr:rowOff>116978</xdr:rowOff>
    </xdr:to>
    <xdr:pic>
      <xdr:nvPicPr>
        <xdr:cNvPr id="10" name="Picture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9"/>
        <a:stretch>
          <a:fillRect/>
        </a:stretch>
      </xdr:blipFill>
      <xdr:spPr>
        <a:xfrm>
          <a:off x="7543800" y="17678400"/>
          <a:ext cx="6340389" cy="1592718"/>
        </a:xfrm>
        <a:prstGeom prst="rect">
          <a:avLst/>
        </a:prstGeom>
      </xdr:spPr>
    </xdr:pic>
    <xdr:clientData/>
  </xdr:twoCellAnchor>
  <xdr:twoCellAnchor editAs="oneCell">
    <xdr:from>
      <xdr:col>6</xdr:col>
      <xdr:colOff>584200</xdr:colOff>
      <xdr:row>107</xdr:row>
      <xdr:rowOff>97790</xdr:rowOff>
    </xdr:from>
    <xdr:to>
      <xdr:col>17</xdr:col>
      <xdr:colOff>43714</xdr:colOff>
      <xdr:row>123</xdr:row>
      <xdr:rowOff>68833</xdr:rowOff>
    </xdr:to>
    <xdr:pic>
      <xdr:nvPicPr>
        <xdr:cNvPr id="13" name="Picture 12">
          <a:extLst>
            <a:ext uri="{FF2B5EF4-FFF2-40B4-BE49-F238E27FC236}">
              <a16:creationId xmlns:a16="http://schemas.microsoft.com/office/drawing/2014/main" id="{00000000-0008-0000-0700-00000D000000}"/>
            </a:ext>
          </a:extLst>
        </xdr:cNvPr>
        <xdr:cNvPicPr>
          <a:picLocks noChangeAspect="1"/>
        </xdr:cNvPicPr>
      </xdr:nvPicPr>
      <xdr:blipFill>
        <a:blip xmlns:r="http://schemas.openxmlformats.org/officeDocument/2006/relationships" r:embed="rId10"/>
        <a:stretch>
          <a:fillRect/>
        </a:stretch>
      </xdr:blipFill>
      <xdr:spPr>
        <a:xfrm>
          <a:off x="7518400" y="19801840"/>
          <a:ext cx="6167654" cy="2914903"/>
        </a:xfrm>
        <a:prstGeom prst="rect">
          <a:avLst/>
        </a:prstGeom>
      </xdr:spPr>
    </xdr:pic>
    <xdr:clientData/>
  </xdr:twoCellAnchor>
  <xdr:twoCellAnchor editAs="oneCell">
    <xdr:from>
      <xdr:col>1</xdr:col>
      <xdr:colOff>0</xdr:colOff>
      <xdr:row>116</xdr:row>
      <xdr:rowOff>0</xdr:rowOff>
    </xdr:from>
    <xdr:to>
      <xdr:col>5</xdr:col>
      <xdr:colOff>541562</xdr:colOff>
      <xdr:row>123</xdr:row>
      <xdr:rowOff>113152</xdr:rowOff>
    </xdr:to>
    <xdr:pic>
      <xdr:nvPicPr>
        <xdr:cNvPr id="14" name="Picture 13">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11"/>
        <a:stretch>
          <a:fillRect/>
        </a:stretch>
      </xdr:blipFill>
      <xdr:spPr>
        <a:xfrm>
          <a:off x="609600" y="21361400"/>
          <a:ext cx="6256562" cy="1402202"/>
        </a:xfrm>
        <a:prstGeom prst="rect">
          <a:avLst/>
        </a:prstGeom>
      </xdr:spPr>
    </xdr:pic>
    <xdr:clientData/>
  </xdr:twoCellAnchor>
  <xdr:twoCellAnchor editAs="oneCell">
    <xdr:from>
      <xdr:col>1</xdr:col>
      <xdr:colOff>0</xdr:colOff>
      <xdr:row>124</xdr:row>
      <xdr:rowOff>0</xdr:rowOff>
    </xdr:from>
    <xdr:to>
      <xdr:col>6</xdr:col>
      <xdr:colOff>2452</xdr:colOff>
      <xdr:row>143</xdr:row>
      <xdr:rowOff>120964</xdr:rowOff>
    </xdr:to>
    <xdr:pic>
      <xdr:nvPicPr>
        <xdr:cNvPr id="15" name="Picture 14">
          <a:extLst>
            <a:ext uri="{FF2B5EF4-FFF2-40B4-BE49-F238E27FC236}">
              <a16:creationId xmlns:a16="http://schemas.microsoft.com/office/drawing/2014/main" id="{00000000-0008-0000-0700-00000F000000}"/>
            </a:ext>
          </a:extLst>
        </xdr:cNvPr>
        <xdr:cNvPicPr>
          <a:picLocks noChangeAspect="1"/>
        </xdr:cNvPicPr>
      </xdr:nvPicPr>
      <xdr:blipFill>
        <a:blip xmlns:r="http://schemas.openxmlformats.org/officeDocument/2006/relationships" r:embed="rId12"/>
        <a:stretch>
          <a:fillRect/>
        </a:stretch>
      </xdr:blipFill>
      <xdr:spPr>
        <a:xfrm>
          <a:off x="609600" y="22834600"/>
          <a:ext cx="6317527" cy="3619814"/>
        </a:xfrm>
        <a:prstGeom prst="rect">
          <a:avLst/>
        </a:prstGeom>
      </xdr:spPr>
    </xdr:pic>
    <xdr:clientData/>
  </xdr:twoCellAnchor>
  <xdr:twoCellAnchor editAs="oneCell">
    <xdr:from>
      <xdr:col>5</xdr:col>
      <xdr:colOff>546100</xdr:colOff>
      <xdr:row>129</xdr:row>
      <xdr:rowOff>31750</xdr:rowOff>
    </xdr:from>
    <xdr:to>
      <xdr:col>12</xdr:col>
      <xdr:colOff>89230</xdr:colOff>
      <xdr:row>137</xdr:row>
      <xdr:rowOff>73791</xdr:rowOff>
    </xdr:to>
    <xdr:pic>
      <xdr:nvPicPr>
        <xdr:cNvPr id="16" name="Picture 15">
          <a:extLst>
            <a:ext uri="{FF2B5EF4-FFF2-40B4-BE49-F238E27FC236}">
              <a16:creationId xmlns:a16="http://schemas.microsoft.com/office/drawing/2014/main" id="{00000000-0008-0000-0700-000010000000}"/>
            </a:ext>
          </a:extLst>
        </xdr:cNvPr>
        <xdr:cNvPicPr>
          <a:picLocks noChangeAspect="1"/>
        </xdr:cNvPicPr>
      </xdr:nvPicPr>
      <xdr:blipFill>
        <a:blip xmlns:r="http://schemas.openxmlformats.org/officeDocument/2006/relationships" r:embed="rId13"/>
        <a:stretch>
          <a:fillRect/>
        </a:stretch>
      </xdr:blipFill>
      <xdr:spPr>
        <a:xfrm>
          <a:off x="6870700" y="23787100"/>
          <a:ext cx="3810330" cy="1515241"/>
        </a:xfrm>
        <a:prstGeom prst="rect">
          <a:avLst/>
        </a:prstGeom>
      </xdr:spPr>
    </xdr:pic>
    <xdr:clientData/>
  </xdr:twoCellAnchor>
  <xdr:twoCellAnchor editAs="oneCell">
    <xdr:from>
      <xdr:col>1</xdr:col>
      <xdr:colOff>0</xdr:colOff>
      <xdr:row>144</xdr:row>
      <xdr:rowOff>0</xdr:rowOff>
    </xdr:from>
    <xdr:to>
      <xdr:col>5</xdr:col>
      <xdr:colOff>541562</xdr:colOff>
      <xdr:row>156</xdr:row>
      <xdr:rowOff>76398</xdr:rowOff>
    </xdr:to>
    <xdr:pic>
      <xdr:nvPicPr>
        <xdr:cNvPr id="17" name="Picture 16">
          <a:extLst>
            <a:ext uri="{FF2B5EF4-FFF2-40B4-BE49-F238E27FC236}">
              <a16:creationId xmlns:a16="http://schemas.microsoft.com/office/drawing/2014/main" id="{00000000-0008-0000-0700-000011000000}"/>
            </a:ext>
          </a:extLst>
        </xdr:cNvPr>
        <xdr:cNvPicPr>
          <a:picLocks noChangeAspect="1"/>
        </xdr:cNvPicPr>
      </xdr:nvPicPr>
      <xdr:blipFill>
        <a:blip xmlns:r="http://schemas.openxmlformats.org/officeDocument/2006/relationships" r:embed="rId14"/>
        <a:stretch>
          <a:fillRect/>
        </a:stretch>
      </xdr:blipFill>
      <xdr:spPr>
        <a:xfrm>
          <a:off x="609600" y="26517600"/>
          <a:ext cx="6256562" cy="2286198"/>
        </a:xfrm>
        <a:prstGeom prst="rect">
          <a:avLst/>
        </a:prstGeom>
      </xdr:spPr>
    </xdr:pic>
    <xdr:clientData/>
  </xdr:twoCellAnchor>
  <xdr:twoCellAnchor editAs="oneCell">
    <xdr:from>
      <xdr:col>1</xdr:col>
      <xdr:colOff>0</xdr:colOff>
      <xdr:row>157</xdr:row>
      <xdr:rowOff>0</xdr:rowOff>
    </xdr:from>
    <xdr:to>
      <xdr:col>5</xdr:col>
      <xdr:colOff>526321</xdr:colOff>
      <xdr:row>166</xdr:row>
      <xdr:rowOff>3954</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5"/>
        <a:stretch>
          <a:fillRect/>
        </a:stretch>
      </xdr:blipFill>
      <xdr:spPr>
        <a:xfrm>
          <a:off x="609600" y="28911550"/>
          <a:ext cx="6241321" cy="1661304"/>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17.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ncbi.nlm.nih.gov/pmc/articles/PMC3748437/" TargetMode="External"/><Relationship Id="rId5" Type="http://schemas.openxmlformats.org/officeDocument/2006/relationships/ctrlProp" Target="../ctrlProps/ctrlProp18.xml"/><Relationship Id="rId4"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3.xml"/><Relationship Id="rId3" Type="http://schemas.openxmlformats.org/officeDocument/2006/relationships/vmlDrawing" Target="../drawings/vmlDrawing4.vml"/><Relationship Id="rId7" Type="http://schemas.openxmlformats.org/officeDocument/2006/relationships/ctrlProp" Target="../ctrlProps/ctrlProp22.xml"/><Relationship Id="rId12" Type="http://schemas.openxmlformats.org/officeDocument/2006/relationships/ctrlProp" Target="../ctrlProps/ctrlProp27.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s>
</file>

<file path=xl/worksheets/_rels/sheet8.xml.rels><?xml version="1.0" encoding="UTF-8" standalone="yes"?>
<Relationships xmlns="http://schemas.openxmlformats.org/package/2006/relationships"><Relationship Id="rId8" Type="http://schemas.openxmlformats.org/officeDocument/2006/relationships/hyperlink" Target="https://www.islandhealth.ca/patients-visitors/fees-payments/patient-transportation-fees" TargetMode="External"/><Relationship Id="rId3" Type="http://schemas.openxmlformats.org/officeDocument/2006/relationships/hyperlink" Target="https://www.fnha.ca/benefits/medical-transportation" TargetMode="External"/><Relationship Id="rId7" Type="http://schemas.openxmlformats.org/officeDocument/2006/relationships/hyperlink" Target="https://www.fraserhealth.ca/patients-and-visitors/billing-and-fees/patient-transportation-fees" TargetMode="External"/><Relationship Id="rId2" Type="http://schemas.openxmlformats.org/officeDocument/2006/relationships/hyperlink" Target="https://www.fnha.ca/benefits/medical-transportation" TargetMode="External"/><Relationship Id="rId1" Type="http://schemas.openxmlformats.org/officeDocument/2006/relationships/hyperlink" Target="https://nunatsiaq.com/stories/article/nunavut-health-minister-threatens-to-forward-medical-travel-bills-to-ottawa-over-lack-of-negotiations/" TargetMode="External"/><Relationship Id="rId6" Type="http://schemas.openxmlformats.org/officeDocument/2006/relationships/hyperlink" Target="https://www.fnha.ca/Documents/FNHA-Medical-Transportation-Benefits-Schedule.pdf" TargetMode="External"/><Relationship Id="rId5" Type="http://schemas.openxmlformats.org/officeDocument/2006/relationships/hyperlink" Target="https://www.fnha.ca/benefits/medical-transportation" TargetMode="External"/><Relationship Id="rId4" Type="http://schemas.openxmlformats.org/officeDocument/2006/relationships/hyperlink" Target="https://www.fnha.ca/benefits/medical-transportation" TargetMode="External"/><Relationship Id="rId9"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3"/>
  </sheetPr>
  <dimension ref="A1:AS116"/>
  <sheetViews>
    <sheetView zoomScale="90" zoomScaleNormal="90" workbookViewId="0">
      <selection activeCell="R7" sqref="R7"/>
    </sheetView>
  </sheetViews>
  <sheetFormatPr defaultColWidth="8.88671875" defaultRowHeight="14.4" x14ac:dyDescent="0.3"/>
  <cols>
    <col min="1" max="2" width="9.44140625" customWidth="1"/>
    <col min="3" max="3" width="9.88671875" customWidth="1"/>
  </cols>
  <sheetData>
    <row r="1" spans="1:45"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32.4" customHeight="1" x14ac:dyDescent="0.3">
      <c r="A2" s="1"/>
      <c r="B2" s="1"/>
      <c r="C2" s="1"/>
      <c r="D2" s="1"/>
      <c r="E2" s="3" t="s">
        <v>0</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ht="55.05" customHeight="1" x14ac:dyDescent="0.3">
      <c r="A3" s="1"/>
      <c r="B3" s="1"/>
      <c r="C3" s="1"/>
      <c r="D3" s="1"/>
      <c r="E3" s="188" t="s">
        <v>332</v>
      </c>
      <c r="F3" s="188"/>
      <c r="G3" s="188"/>
      <c r="H3" s="188"/>
      <c r="I3" s="188"/>
      <c r="J3" s="188"/>
      <c r="K3" s="188"/>
      <c r="L3" s="188"/>
      <c r="M3" s="188"/>
      <c r="N3" s="188"/>
      <c r="O3" s="188"/>
      <c r="P3" s="188"/>
      <c r="Q3" s="188"/>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5" x14ac:dyDescent="0.3">
      <c r="A4" s="1"/>
      <c r="B4" s="1"/>
      <c r="C4" s="1"/>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ht="15.6" x14ac:dyDescent="0.3">
      <c r="A5" s="1"/>
      <c r="B5" s="1"/>
      <c r="C5" s="1"/>
      <c r="D5" s="2"/>
      <c r="E5" s="4" t="s">
        <v>1</v>
      </c>
      <c r="F5" s="5"/>
      <c r="G5" s="5"/>
      <c r="H5" s="5"/>
      <c r="I5" s="5"/>
      <c r="J5" s="5"/>
      <c r="K5" s="5"/>
      <c r="L5" s="5"/>
      <c r="M5" s="5"/>
      <c r="N5" s="5"/>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5" x14ac:dyDescent="0.3">
      <c r="A6" s="1"/>
      <c r="B6" s="1"/>
      <c r="C6" s="1"/>
      <c r="D6" s="2"/>
      <c r="E6" s="6"/>
      <c r="F6" s="5"/>
      <c r="G6" s="5"/>
      <c r="H6" s="5"/>
      <c r="I6" s="5"/>
      <c r="J6" s="5"/>
      <c r="K6" s="5"/>
      <c r="L6" s="5"/>
      <c r="M6" s="5"/>
      <c r="N6" s="5"/>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5" ht="18.600000000000001" thickBot="1" x14ac:dyDescent="0.4">
      <c r="A7" s="1"/>
      <c r="B7" s="1"/>
      <c r="C7" s="1"/>
      <c r="D7" s="2"/>
      <c r="E7" s="7" t="s">
        <v>2</v>
      </c>
      <c r="F7" s="9"/>
      <c r="G7" s="9"/>
      <c r="H7" s="9"/>
      <c r="I7" s="9"/>
      <c r="J7" s="9"/>
      <c r="K7" s="9"/>
      <c r="L7" s="9"/>
      <c r="M7" s="9"/>
      <c r="N7" s="9"/>
      <c r="O7" s="9"/>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5" ht="15" customHeight="1" thickTop="1" x14ac:dyDescent="0.3">
      <c r="A8" s="1"/>
      <c r="B8" s="1"/>
      <c r="C8" s="1"/>
      <c r="D8" s="2"/>
      <c r="E8" s="10" t="s">
        <v>3</v>
      </c>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row>
    <row r="9" spans="1:45" x14ac:dyDescent="0.3">
      <c r="A9" s="1"/>
      <c r="B9" s="1"/>
      <c r="C9" s="1"/>
      <c r="D9" s="2"/>
      <c r="E9" s="189" t="s">
        <v>4</v>
      </c>
      <c r="F9" s="189"/>
      <c r="G9" s="189"/>
      <c r="H9" s="189"/>
      <c r="I9" s="189"/>
      <c r="J9" s="189"/>
      <c r="K9" s="189"/>
      <c r="L9" s="189"/>
      <c r="M9" s="189"/>
      <c r="N9" s="189"/>
      <c r="O9" s="189"/>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5" x14ac:dyDescent="0.3">
      <c r="A10" s="1"/>
      <c r="B10" s="1"/>
      <c r="C10" s="1"/>
      <c r="D10" s="2"/>
      <c r="E10" s="189"/>
      <c r="F10" s="189"/>
      <c r="G10" s="189"/>
      <c r="H10" s="189"/>
      <c r="I10" s="189"/>
      <c r="J10" s="189"/>
      <c r="K10" s="189"/>
      <c r="L10" s="189"/>
      <c r="M10" s="189"/>
      <c r="N10" s="189"/>
      <c r="O10" s="189"/>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row>
    <row r="11" spans="1:45" x14ac:dyDescent="0.3">
      <c r="A11" s="1"/>
      <c r="B11" s="1"/>
      <c r="C11" s="1"/>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row>
    <row r="12" spans="1:45" ht="18.600000000000001" thickBot="1" x14ac:dyDescent="0.4">
      <c r="A12" s="1"/>
      <c r="B12" s="1"/>
      <c r="C12" s="1"/>
      <c r="D12" s="2"/>
      <c r="E12" s="7" t="s">
        <v>5</v>
      </c>
      <c r="F12" s="8"/>
      <c r="G12" s="8"/>
      <c r="H12" s="8"/>
      <c r="I12" s="8"/>
      <c r="J12" s="8"/>
      <c r="K12" s="8"/>
      <c r="L12" s="8"/>
      <c r="M12" s="8"/>
      <c r="N12" s="8"/>
      <c r="O12" s="8"/>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row>
    <row r="13" spans="1:45" ht="33" customHeight="1" thickTop="1" x14ac:dyDescent="0.3">
      <c r="A13" s="1"/>
      <c r="B13" s="1"/>
      <c r="C13" s="1"/>
      <c r="D13" s="2"/>
      <c r="E13" s="185" t="s">
        <v>6</v>
      </c>
      <c r="F13" s="185"/>
      <c r="G13" s="185"/>
      <c r="H13" s="185"/>
      <c r="I13" s="185"/>
      <c r="J13" s="185"/>
      <c r="K13" s="185"/>
      <c r="L13" s="185"/>
      <c r="M13" s="185"/>
      <c r="N13" s="185"/>
      <c r="O13" s="185"/>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row>
    <row r="14" spans="1:45" ht="15.6" x14ac:dyDescent="0.3">
      <c r="A14" s="1"/>
      <c r="B14" s="1"/>
      <c r="C14" s="1"/>
      <c r="D14" s="2"/>
      <c r="E14" s="11"/>
      <c r="F14" s="11"/>
      <c r="G14" s="11"/>
      <c r="H14" s="11"/>
      <c r="I14" s="11"/>
      <c r="J14" s="11"/>
      <c r="K14" s="11"/>
      <c r="L14" s="11"/>
      <c r="M14" s="11"/>
      <c r="N14" s="11"/>
      <c r="O14" s="1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row>
    <row r="15" spans="1:45" ht="15.6" x14ac:dyDescent="0.3">
      <c r="A15" s="1"/>
      <c r="B15" s="1"/>
      <c r="C15" s="1"/>
      <c r="D15" s="2"/>
      <c r="E15" s="13" t="s">
        <v>7</v>
      </c>
      <c r="F15" s="2"/>
      <c r="G15" s="2"/>
      <c r="H15" s="2"/>
      <c r="I15" s="16" t="s">
        <v>8</v>
      </c>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row>
    <row r="16" spans="1:45" x14ac:dyDescent="0.3">
      <c r="A16" s="1"/>
      <c r="B16" s="1"/>
      <c r="C16" s="1"/>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row>
    <row r="17" spans="1:45" ht="31.35" customHeight="1" x14ac:dyDescent="0.3">
      <c r="A17" s="1"/>
      <c r="B17" s="1"/>
      <c r="C17" s="1"/>
      <c r="D17" s="2"/>
      <c r="E17" s="185" t="s">
        <v>9</v>
      </c>
      <c r="F17" s="185"/>
      <c r="G17" s="185"/>
      <c r="H17" s="185"/>
      <c r="I17" s="185"/>
      <c r="J17" s="185"/>
      <c r="K17" s="185"/>
      <c r="L17" s="185"/>
      <c r="M17" s="185"/>
      <c r="N17" s="185"/>
      <c r="O17" s="185"/>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row>
    <row r="18" spans="1:45" ht="15.6" x14ac:dyDescent="0.3">
      <c r="A18" s="1"/>
      <c r="B18" s="1"/>
      <c r="C18" s="1"/>
      <c r="D18" s="2"/>
      <c r="E18" s="11"/>
      <c r="F18" s="11"/>
      <c r="G18" s="11"/>
      <c r="H18" s="11"/>
      <c r="I18" s="11"/>
      <c r="J18" s="11"/>
      <c r="K18" s="11"/>
      <c r="L18" s="11"/>
      <c r="M18" s="11"/>
      <c r="N18" s="11"/>
      <c r="O18" s="1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row>
    <row r="19" spans="1:45" ht="15.6" x14ac:dyDescent="0.3">
      <c r="A19" s="1"/>
      <c r="B19" s="1"/>
      <c r="C19" s="1"/>
      <c r="D19" s="2"/>
      <c r="E19" s="59" t="s">
        <v>10</v>
      </c>
      <c r="F19" s="14"/>
      <c r="G19" s="11"/>
      <c r="H19" s="11"/>
      <c r="I19" s="15" t="s">
        <v>8</v>
      </c>
      <c r="J19" s="11"/>
      <c r="K19" s="60" t="s">
        <v>8</v>
      </c>
      <c r="L19" s="11"/>
      <c r="M19" s="11"/>
      <c r="N19" s="11"/>
      <c r="O19" s="1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row>
    <row r="20" spans="1:45" ht="15.6" x14ac:dyDescent="0.3">
      <c r="A20" s="1"/>
      <c r="B20" s="1"/>
      <c r="C20" s="1"/>
      <c r="D20" s="2"/>
      <c r="E20" s="11"/>
      <c r="F20" s="11"/>
      <c r="G20" s="11"/>
      <c r="H20" s="11"/>
      <c r="I20" s="11"/>
      <c r="J20" s="11"/>
      <c r="K20" s="11"/>
      <c r="L20" s="11"/>
      <c r="M20" s="11"/>
      <c r="N20" s="11"/>
      <c r="O20" s="1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row>
    <row r="21" spans="1:45" ht="32.4" customHeight="1" x14ac:dyDescent="0.3">
      <c r="A21" s="1"/>
      <c r="B21" s="1"/>
      <c r="C21" s="1"/>
      <c r="D21" s="2"/>
      <c r="E21" s="187" t="s">
        <v>11</v>
      </c>
      <c r="F21" s="187"/>
      <c r="G21" s="187"/>
      <c r="H21" s="187"/>
      <c r="I21" s="187"/>
      <c r="J21" s="187"/>
      <c r="K21" s="187"/>
      <c r="L21" s="187"/>
      <c r="M21" s="187"/>
      <c r="N21" s="187"/>
      <c r="O21" s="1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row>
    <row r="22" spans="1:45" ht="15" customHeight="1" x14ac:dyDescent="0.3">
      <c r="A22" s="1"/>
      <c r="B22" s="1"/>
      <c r="C22" s="1"/>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row>
    <row r="23" spans="1:45" ht="18.600000000000001" thickBot="1" x14ac:dyDescent="0.4">
      <c r="A23" s="1"/>
      <c r="B23" s="1"/>
      <c r="C23" s="1"/>
      <c r="D23" s="2"/>
      <c r="E23" s="7" t="s">
        <v>12</v>
      </c>
      <c r="F23" s="9"/>
      <c r="G23" s="9"/>
      <c r="H23" s="9"/>
      <c r="I23" s="9"/>
      <c r="J23" s="9"/>
      <c r="K23" s="9"/>
      <c r="L23" s="9"/>
      <c r="M23" s="9"/>
      <c r="N23" s="9"/>
      <c r="O23" s="9"/>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ht="35.4" customHeight="1" thickTop="1" x14ac:dyDescent="0.3">
      <c r="A24" s="1"/>
      <c r="B24" s="1"/>
      <c r="C24" s="1"/>
      <c r="D24" s="2"/>
      <c r="E24" s="185" t="s">
        <v>13</v>
      </c>
      <c r="F24" s="185"/>
      <c r="G24" s="185"/>
      <c r="H24" s="185"/>
      <c r="I24" s="185"/>
      <c r="J24" s="185"/>
      <c r="K24" s="185"/>
      <c r="L24" s="185"/>
      <c r="M24" s="185"/>
      <c r="N24" s="185"/>
      <c r="O24" s="185"/>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35.4" customHeight="1" x14ac:dyDescent="0.3">
      <c r="A25" s="1"/>
      <c r="B25" s="1"/>
      <c r="C25" s="1"/>
      <c r="D25" s="2"/>
      <c r="E25" s="185" t="s">
        <v>333</v>
      </c>
      <c r="F25" s="185"/>
      <c r="G25" s="185"/>
      <c r="H25" s="185"/>
      <c r="I25" s="185"/>
      <c r="J25" s="185"/>
      <c r="K25" s="185"/>
      <c r="L25" s="185"/>
      <c r="M25" s="185"/>
      <c r="N25" s="185"/>
      <c r="O25" s="185"/>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34.65" customHeight="1" x14ac:dyDescent="0.3">
      <c r="A26" s="1"/>
      <c r="B26" s="1"/>
      <c r="C26" s="1"/>
      <c r="D26" s="2"/>
      <c r="E26" s="186" t="s">
        <v>270</v>
      </c>
      <c r="F26" s="185"/>
      <c r="G26" s="185"/>
      <c r="H26" s="185"/>
      <c r="I26" s="185"/>
      <c r="J26" s="185"/>
      <c r="K26" s="185"/>
      <c r="L26" s="185"/>
      <c r="M26" s="185"/>
      <c r="N26" s="185"/>
      <c r="O26" s="185"/>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111.6" customHeight="1" x14ac:dyDescent="0.3">
      <c r="A27" s="1"/>
      <c r="B27" s="1"/>
      <c r="C27" s="1"/>
      <c r="D27" s="2"/>
      <c r="E27" s="186" t="s">
        <v>271</v>
      </c>
      <c r="F27" s="185"/>
      <c r="G27" s="185"/>
      <c r="H27" s="185"/>
      <c r="I27" s="185"/>
      <c r="J27" s="185"/>
      <c r="K27" s="185"/>
      <c r="L27" s="185"/>
      <c r="M27" s="185"/>
      <c r="N27" s="185"/>
      <c r="O27" s="185"/>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row>
    <row r="28" spans="1:45" ht="99.6" customHeight="1" x14ac:dyDescent="0.3">
      <c r="A28" s="1"/>
      <c r="B28" s="1"/>
      <c r="C28" s="1"/>
      <c r="D28" s="2"/>
      <c r="E28" s="186" t="s">
        <v>272</v>
      </c>
      <c r="F28" s="185"/>
      <c r="G28" s="185"/>
      <c r="H28" s="185"/>
      <c r="I28" s="185"/>
      <c r="J28" s="185"/>
      <c r="K28" s="185"/>
      <c r="L28" s="185"/>
      <c r="M28" s="185"/>
      <c r="N28" s="185"/>
      <c r="O28" s="185"/>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row>
    <row r="29" spans="1:45" ht="15" customHeight="1" x14ac:dyDescent="0.3">
      <c r="A29" s="1"/>
      <c r="B29" s="1"/>
      <c r="C29" s="1"/>
      <c r="D29" s="2"/>
      <c r="E29" s="55"/>
      <c r="F29" s="55"/>
      <c r="G29" s="55"/>
      <c r="H29" s="55"/>
      <c r="I29" s="55"/>
      <c r="J29" s="55"/>
      <c r="K29" s="55"/>
      <c r="L29" s="55"/>
      <c r="M29" s="55"/>
      <c r="N29" s="55"/>
      <c r="O29" s="55"/>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ht="18.600000000000001" thickBot="1" x14ac:dyDescent="0.4">
      <c r="A30" s="1"/>
      <c r="B30" s="1"/>
      <c r="C30" s="1"/>
      <c r="D30" s="2"/>
      <c r="E30" s="7" t="s">
        <v>14</v>
      </c>
      <c r="F30" s="9"/>
      <c r="G30" s="9"/>
      <c r="H30" s="9"/>
      <c r="I30" s="9"/>
      <c r="J30" s="9"/>
      <c r="K30" s="9"/>
      <c r="L30" s="9"/>
      <c r="M30" s="9"/>
      <c r="N30" s="9"/>
      <c r="O30" s="9"/>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ht="104.4" customHeight="1" thickTop="1" x14ac:dyDescent="0.3">
      <c r="A31" s="1"/>
      <c r="B31" s="1"/>
      <c r="C31" s="1"/>
      <c r="D31" s="2"/>
      <c r="E31" s="185" t="s">
        <v>334</v>
      </c>
      <c r="F31" s="185"/>
      <c r="G31" s="185"/>
      <c r="H31" s="185"/>
      <c r="I31" s="185"/>
      <c r="J31" s="185"/>
      <c r="K31" s="185"/>
      <c r="L31" s="185"/>
      <c r="M31" s="185"/>
      <c r="N31" s="185"/>
      <c r="O31" s="185"/>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row>
    <row r="32" spans="1:45" ht="15.6" x14ac:dyDescent="0.3">
      <c r="A32" s="1"/>
      <c r="B32" s="1"/>
      <c r="C32" s="1"/>
      <c r="D32" s="2"/>
      <c r="E32" s="55"/>
      <c r="F32" s="55"/>
      <c r="G32" s="55"/>
      <c r="H32" s="55"/>
      <c r="I32" s="55"/>
      <c r="J32" s="55"/>
      <c r="K32" s="55"/>
      <c r="L32" s="55"/>
      <c r="M32" s="55"/>
      <c r="N32" s="55"/>
      <c r="O32" s="55"/>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5" x14ac:dyDescent="0.3">
      <c r="A33" s="1"/>
      <c r="B33" s="1"/>
      <c r="C33" s="1"/>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5" x14ac:dyDescent="0.3">
      <c r="A34" s="1"/>
      <c r="B34" s="1"/>
      <c r="C34" s="1"/>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5" x14ac:dyDescent="0.3">
      <c r="A35" s="1"/>
      <c r="B35" s="1"/>
      <c r="C35" s="1"/>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row>
    <row r="36" spans="1:45" x14ac:dyDescent="0.3">
      <c r="A36" s="1"/>
      <c r="B36" s="1"/>
      <c r="C36" s="1"/>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row>
    <row r="37" spans="1:45" x14ac:dyDescent="0.3">
      <c r="A37" s="1"/>
      <c r="B37" s="1"/>
      <c r="C37" s="1"/>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row>
    <row r="38" spans="1:45" x14ac:dyDescent="0.3">
      <c r="A38" s="1"/>
      <c r="B38" s="1"/>
      <c r="C38" s="1"/>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row>
    <row r="39" spans="1:45" ht="84" customHeight="1" x14ac:dyDescent="0.3">
      <c r="A39" s="1"/>
      <c r="B39" s="1"/>
      <c r="C39" s="1"/>
      <c r="D39" s="2"/>
      <c r="E39" s="185" t="s">
        <v>15</v>
      </c>
      <c r="F39" s="185"/>
      <c r="G39" s="185"/>
      <c r="H39" s="185"/>
      <c r="I39" s="185"/>
      <c r="J39" s="185"/>
      <c r="K39" s="185"/>
      <c r="L39" s="185"/>
      <c r="M39" s="185"/>
      <c r="N39" s="185"/>
      <c r="O39" s="185"/>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row>
    <row r="40" spans="1:45" ht="15" customHeight="1" x14ac:dyDescent="0.3">
      <c r="A40" s="1"/>
      <c r="B40" s="1"/>
      <c r="C40" s="1"/>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row>
    <row r="41" spans="1:45" ht="43.95" customHeight="1" x14ac:dyDescent="0.3">
      <c r="A41" s="1"/>
      <c r="B41" s="1"/>
      <c r="C41" s="1"/>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row>
    <row r="42" spans="1:45" x14ac:dyDescent="0.3">
      <c r="A42" s="1"/>
      <c r="B42" s="1"/>
      <c r="C42" s="1"/>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row>
    <row r="43" spans="1:45" ht="28.95" customHeight="1" x14ac:dyDescent="0.3">
      <c r="A43" s="1"/>
      <c r="B43" s="1"/>
      <c r="C43" s="1"/>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5" ht="28.95" customHeight="1" x14ac:dyDescent="0.3">
      <c r="A44" s="1"/>
      <c r="B44" s="1"/>
      <c r="C44" s="1"/>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5" ht="28.95" customHeight="1" x14ac:dyDescent="0.3">
      <c r="A45" s="1"/>
      <c r="B45" s="1"/>
      <c r="C45" s="1"/>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5" ht="18.600000000000001" thickBot="1" x14ac:dyDescent="0.4">
      <c r="A46" s="1"/>
      <c r="B46" s="1"/>
      <c r="C46" s="1"/>
      <c r="D46" s="2"/>
      <c r="E46" s="7" t="s">
        <v>16</v>
      </c>
      <c r="F46" s="9"/>
      <c r="G46" s="9"/>
      <c r="H46" s="9"/>
      <c r="I46" s="9"/>
      <c r="J46" s="9"/>
      <c r="K46" s="9"/>
      <c r="L46" s="9"/>
      <c r="M46" s="9"/>
      <c r="N46" s="9"/>
      <c r="O46" s="9"/>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row>
    <row r="47" spans="1:45" ht="23.1" customHeight="1" thickTop="1" x14ac:dyDescent="0.3">
      <c r="A47" s="1"/>
      <c r="B47" s="1"/>
      <c r="C47" s="1"/>
      <c r="D47" s="2"/>
      <c r="E47" s="185" t="s">
        <v>17</v>
      </c>
      <c r="F47" s="185"/>
      <c r="G47" s="185"/>
      <c r="H47" s="185"/>
      <c r="I47" s="185"/>
      <c r="J47" s="185"/>
      <c r="K47" s="185"/>
      <c r="L47" s="185"/>
      <c r="M47" s="185"/>
      <c r="N47" s="185"/>
      <c r="O47" s="185"/>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5" ht="81" customHeight="1" x14ac:dyDescent="0.3">
      <c r="A48" s="1"/>
      <c r="B48" s="1"/>
      <c r="C48" s="1"/>
      <c r="D48" s="2"/>
      <c r="E48" s="186" t="s">
        <v>18</v>
      </c>
      <c r="F48" s="185"/>
      <c r="G48" s="185"/>
      <c r="H48" s="185"/>
      <c r="I48" s="185"/>
      <c r="J48" s="185"/>
      <c r="K48" s="185"/>
      <c r="L48" s="185"/>
      <c r="M48" s="185"/>
      <c r="N48" s="185"/>
      <c r="O48" s="185"/>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ht="98.85" customHeight="1" x14ac:dyDescent="0.3">
      <c r="A49" s="1"/>
      <c r="B49" s="1"/>
      <c r="C49" s="1"/>
      <c r="D49" s="2"/>
      <c r="E49" s="185" t="s">
        <v>19</v>
      </c>
      <c r="F49" s="185"/>
      <c r="G49" s="185"/>
      <c r="H49" s="185"/>
      <c r="I49" s="185"/>
      <c r="J49" s="185"/>
      <c r="K49" s="185"/>
      <c r="L49" s="185"/>
      <c r="M49" s="185"/>
      <c r="N49" s="185"/>
      <c r="O49" s="185"/>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ht="79.650000000000006" customHeight="1" x14ac:dyDescent="0.3">
      <c r="A50" s="1"/>
      <c r="B50" s="1"/>
      <c r="C50" s="1"/>
      <c r="D50" s="2"/>
      <c r="E50" s="185" t="s">
        <v>273</v>
      </c>
      <c r="F50" s="185"/>
      <c r="G50" s="185"/>
      <c r="H50" s="185"/>
      <c r="I50" s="185"/>
      <c r="J50" s="185"/>
      <c r="K50" s="185"/>
      <c r="L50" s="185"/>
      <c r="M50" s="185"/>
      <c r="N50" s="185"/>
      <c r="O50" s="185"/>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66" customHeight="1" x14ac:dyDescent="0.3">
      <c r="A51" s="1"/>
      <c r="B51" s="1"/>
      <c r="C51" s="1"/>
      <c r="D51" s="2"/>
      <c r="E51" s="186" t="s">
        <v>274</v>
      </c>
      <c r="F51" s="185"/>
      <c r="G51" s="185"/>
      <c r="H51" s="185"/>
      <c r="I51" s="185"/>
      <c r="J51" s="185"/>
      <c r="K51" s="185"/>
      <c r="L51" s="185"/>
      <c r="M51" s="185"/>
      <c r="N51" s="185"/>
      <c r="O51" s="185"/>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ht="15" customHeight="1" x14ac:dyDescent="0.3">
      <c r="A52" s="1"/>
      <c r="B52" s="1"/>
      <c r="C52" s="1"/>
      <c r="D52" s="2"/>
      <c r="E52" s="153"/>
      <c r="F52" s="153"/>
      <c r="G52" s="153"/>
      <c r="H52" s="153"/>
      <c r="I52" s="153"/>
      <c r="J52" s="153"/>
      <c r="K52" s="153"/>
      <c r="L52" s="153"/>
      <c r="M52" s="153"/>
      <c r="N52" s="153"/>
      <c r="O52" s="153"/>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ht="18.600000000000001" thickBot="1" x14ac:dyDescent="0.4">
      <c r="A53" s="1"/>
      <c r="B53" s="1"/>
      <c r="C53" s="1"/>
      <c r="D53" s="2"/>
      <c r="E53" s="7" t="s">
        <v>20</v>
      </c>
      <c r="F53" s="9"/>
      <c r="G53" s="9"/>
      <c r="H53" s="9"/>
      <c r="I53" s="9"/>
      <c r="J53" s="9"/>
      <c r="K53" s="9"/>
      <c r="L53" s="9"/>
      <c r="M53" s="9"/>
      <c r="N53" s="9"/>
      <c r="O53" s="9"/>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ht="49.35" customHeight="1" thickTop="1" x14ac:dyDescent="0.3">
      <c r="A54" s="1"/>
      <c r="B54" s="1"/>
      <c r="C54" s="1"/>
      <c r="D54" s="2"/>
      <c r="E54" s="185" t="s">
        <v>335</v>
      </c>
      <c r="F54" s="185"/>
      <c r="G54" s="185"/>
      <c r="H54" s="185"/>
      <c r="I54" s="185"/>
      <c r="J54" s="185"/>
      <c r="K54" s="185"/>
      <c r="L54" s="185"/>
      <c r="M54" s="185"/>
      <c r="N54" s="185"/>
      <c r="O54" s="185"/>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ht="64.349999999999994" customHeight="1" x14ac:dyDescent="0.3">
      <c r="A55" s="1"/>
      <c r="B55" s="1"/>
      <c r="C55" s="1"/>
      <c r="D55" s="2"/>
      <c r="E55" s="185" t="s">
        <v>21</v>
      </c>
      <c r="F55" s="185"/>
      <c r="G55" s="185"/>
      <c r="H55" s="185"/>
      <c r="I55" s="185"/>
      <c r="J55" s="185"/>
      <c r="K55" s="185"/>
      <c r="L55" s="185"/>
      <c r="M55" s="185"/>
      <c r="N55" s="185"/>
      <c r="O55" s="185"/>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ht="48" customHeight="1" x14ac:dyDescent="0.3">
      <c r="A56" s="1"/>
      <c r="B56" s="1"/>
      <c r="C56" s="1"/>
      <c r="D56" s="2"/>
      <c r="E56" s="185" t="s">
        <v>275</v>
      </c>
      <c r="F56" s="185"/>
      <c r="G56" s="185"/>
      <c r="H56" s="185"/>
      <c r="I56" s="185"/>
      <c r="J56" s="185"/>
      <c r="K56" s="185"/>
      <c r="L56" s="185"/>
      <c r="M56" s="185"/>
      <c r="N56" s="185"/>
      <c r="O56" s="185"/>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ht="15" customHeight="1" x14ac:dyDescent="0.3">
      <c r="A57" s="1"/>
      <c r="B57" s="1"/>
      <c r="C57" s="1"/>
      <c r="D57" s="2"/>
      <c r="E57" s="153"/>
      <c r="F57" s="153"/>
      <c r="G57" s="153"/>
      <c r="H57" s="153"/>
      <c r="I57" s="153"/>
      <c r="J57" s="153"/>
      <c r="K57" s="153"/>
      <c r="L57" s="153"/>
      <c r="M57" s="153"/>
      <c r="N57" s="153"/>
      <c r="O57" s="153"/>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ht="18.600000000000001" thickBot="1" x14ac:dyDescent="0.4">
      <c r="A58" s="1"/>
      <c r="B58" s="1"/>
      <c r="C58" s="1"/>
      <c r="D58" s="2"/>
      <c r="E58" s="7" t="s">
        <v>22</v>
      </c>
      <c r="F58" s="9"/>
      <c r="G58" s="9"/>
      <c r="H58" s="9"/>
      <c r="I58" s="9"/>
      <c r="J58" s="9"/>
      <c r="K58" s="9"/>
      <c r="L58" s="9"/>
      <c r="M58" s="9"/>
      <c r="N58" s="9"/>
      <c r="O58" s="9"/>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ht="59.4" customHeight="1" thickTop="1" x14ac:dyDescent="0.3">
      <c r="A59" s="1"/>
      <c r="B59" s="1"/>
      <c r="C59" s="1"/>
      <c r="D59" s="2"/>
      <c r="E59" s="185" t="s">
        <v>23</v>
      </c>
      <c r="F59" s="185"/>
      <c r="G59" s="185"/>
      <c r="H59" s="185"/>
      <c r="I59" s="185"/>
      <c r="J59" s="185"/>
      <c r="K59" s="185"/>
      <c r="L59" s="185"/>
      <c r="M59" s="185"/>
      <c r="N59" s="185"/>
      <c r="O59" s="185"/>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ht="18" x14ac:dyDescent="0.35">
      <c r="A60" s="1"/>
      <c r="B60" s="1"/>
      <c r="C60" s="1"/>
      <c r="D60" s="2"/>
      <c r="E60" s="7" t="s">
        <v>276</v>
      </c>
      <c r="F60" s="9"/>
      <c r="G60" s="9"/>
      <c r="H60" s="9"/>
      <c r="I60" s="9"/>
      <c r="J60" s="9"/>
      <c r="K60" s="9"/>
      <c r="L60" s="9"/>
      <c r="M60" s="9"/>
      <c r="N60" s="9"/>
      <c r="O60" s="9"/>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32.4" customHeight="1" thickTop="1" x14ac:dyDescent="0.3">
      <c r="A61" s="1"/>
      <c r="B61" s="1"/>
      <c r="C61" s="1"/>
      <c r="D61" s="2"/>
      <c r="E61" s="185" t="s">
        <v>277</v>
      </c>
      <c r="F61" s="185"/>
      <c r="G61" s="185"/>
      <c r="H61" s="185"/>
      <c r="I61" s="185"/>
      <c r="J61" s="185"/>
      <c r="K61" s="185"/>
      <c r="L61" s="185"/>
      <c r="M61" s="185"/>
      <c r="N61" s="185"/>
      <c r="O61" s="185"/>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ht="64.349999999999994" customHeight="1" x14ac:dyDescent="0.3">
      <c r="A62" s="1"/>
      <c r="B62" s="1"/>
      <c r="C62" s="1"/>
      <c r="D62" s="2"/>
      <c r="E62" s="185" t="s">
        <v>24</v>
      </c>
      <c r="F62" s="185"/>
      <c r="G62" s="185"/>
      <c r="H62" s="185"/>
      <c r="I62" s="185"/>
      <c r="J62" s="185"/>
      <c r="K62" s="185"/>
      <c r="L62" s="185"/>
      <c r="M62" s="185"/>
      <c r="N62" s="185"/>
      <c r="O62" s="185"/>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ht="15" customHeight="1" x14ac:dyDescent="0.3">
      <c r="A63" s="1"/>
      <c r="B63" s="1"/>
      <c r="C63" s="1"/>
      <c r="D63" s="2"/>
      <c r="E63" s="153"/>
      <c r="F63" s="153"/>
      <c r="G63" s="153"/>
      <c r="H63" s="153"/>
      <c r="I63" s="153"/>
      <c r="J63" s="153"/>
      <c r="K63" s="153"/>
      <c r="L63" s="153"/>
      <c r="M63" s="153"/>
      <c r="N63" s="153"/>
      <c r="O63" s="153"/>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ht="18.600000000000001" thickBot="1" x14ac:dyDescent="0.4">
      <c r="A64" s="1"/>
      <c r="B64" s="1"/>
      <c r="C64" s="1"/>
      <c r="D64" s="2"/>
      <c r="E64" s="7" t="s">
        <v>278</v>
      </c>
      <c r="F64" s="9"/>
      <c r="G64" s="9"/>
      <c r="H64" s="9"/>
      <c r="I64" s="9"/>
      <c r="J64" s="9"/>
      <c r="K64" s="9"/>
      <c r="L64" s="9"/>
      <c r="M64" s="9"/>
      <c r="N64" s="9"/>
      <c r="O64" s="9"/>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5" ht="15.6" x14ac:dyDescent="0.3">
      <c r="A65" s="1"/>
      <c r="B65" s="1"/>
      <c r="C65" s="1"/>
      <c r="D65" s="2"/>
      <c r="E65" s="186" t="s">
        <v>279</v>
      </c>
      <c r="F65" s="185"/>
      <c r="G65" s="185"/>
      <c r="H65" s="185"/>
      <c r="I65" s="185"/>
      <c r="J65" s="185"/>
      <c r="K65" s="185"/>
      <c r="L65" s="185"/>
      <c r="M65" s="185"/>
      <c r="N65" s="185"/>
      <c r="O65" s="185"/>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5" ht="50.4" customHeight="1" x14ac:dyDescent="0.3">
      <c r="A66" s="1"/>
      <c r="B66" s="1"/>
      <c r="C66" s="1"/>
      <c r="D66" s="2"/>
      <c r="E66" s="185" t="s">
        <v>25</v>
      </c>
      <c r="F66" s="185"/>
      <c r="G66" s="185"/>
      <c r="H66" s="185"/>
      <c r="I66" s="185"/>
      <c r="J66" s="185"/>
      <c r="K66" s="185"/>
      <c r="L66" s="185"/>
      <c r="M66" s="185"/>
      <c r="N66" s="185"/>
      <c r="O66" s="185"/>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5" ht="15" customHeight="1" x14ac:dyDescent="0.3">
      <c r="A67" s="1"/>
      <c r="B67" s="1"/>
      <c r="C67" s="1"/>
      <c r="D67" s="2"/>
      <c r="E67" s="153"/>
      <c r="F67" s="153"/>
      <c r="G67" s="153"/>
      <c r="H67" s="153"/>
      <c r="I67" s="153"/>
      <c r="J67" s="153"/>
      <c r="K67" s="153"/>
      <c r="L67" s="153"/>
      <c r="M67" s="153"/>
      <c r="N67" s="153"/>
      <c r="O67" s="153"/>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5" ht="18.600000000000001" thickBot="1" x14ac:dyDescent="0.4">
      <c r="A68" s="1"/>
      <c r="B68" s="1"/>
      <c r="C68" s="1"/>
      <c r="D68" s="2"/>
      <c r="E68" s="7" t="s">
        <v>26</v>
      </c>
      <c r="F68" s="9"/>
      <c r="G68" s="9"/>
      <c r="H68" s="9"/>
      <c r="I68" s="9"/>
      <c r="J68" s="9"/>
      <c r="K68" s="9"/>
      <c r="L68" s="9"/>
      <c r="M68" s="9"/>
      <c r="N68" s="9"/>
      <c r="O68" s="9"/>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5" ht="65.400000000000006" customHeight="1" x14ac:dyDescent="0.3">
      <c r="A69" s="1"/>
      <c r="B69" s="1"/>
      <c r="C69" s="1"/>
      <c r="D69" s="2"/>
      <c r="E69" s="186" t="s">
        <v>280</v>
      </c>
      <c r="F69" s="185"/>
      <c r="G69" s="185"/>
      <c r="H69" s="185"/>
      <c r="I69" s="185"/>
      <c r="J69" s="185"/>
      <c r="K69" s="185"/>
      <c r="L69" s="185"/>
      <c r="M69" s="185"/>
      <c r="N69" s="185"/>
      <c r="O69" s="185"/>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5" ht="15" customHeight="1" x14ac:dyDescent="0.3">
      <c r="A70" s="1"/>
      <c r="B70" s="1"/>
      <c r="C70" s="1"/>
      <c r="D70" s="2"/>
      <c r="E70" s="185"/>
      <c r="F70" s="185"/>
      <c r="G70" s="185"/>
      <c r="H70" s="185"/>
      <c r="I70" s="185"/>
      <c r="J70" s="185"/>
      <c r="K70" s="185"/>
      <c r="L70" s="185"/>
      <c r="M70" s="185"/>
      <c r="N70" s="185"/>
      <c r="O70" s="185"/>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5" ht="18.600000000000001" thickBot="1" x14ac:dyDescent="0.4">
      <c r="A71" s="1"/>
      <c r="B71" s="1"/>
      <c r="C71" s="1"/>
      <c r="D71" s="2"/>
      <c r="E71" s="7" t="s">
        <v>27</v>
      </c>
      <c r="F71" s="9"/>
      <c r="G71" s="9"/>
      <c r="H71" s="9"/>
      <c r="I71" s="9"/>
      <c r="J71" s="9"/>
      <c r="K71" s="9"/>
      <c r="L71" s="9"/>
      <c r="M71" s="9"/>
      <c r="N71" s="9"/>
      <c r="O71" s="9"/>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row>
    <row r="72" spans="1:45" ht="34.35" customHeight="1" x14ac:dyDescent="0.3">
      <c r="A72" s="1"/>
      <c r="B72" s="1"/>
      <c r="C72" s="1"/>
      <c r="D72" s="2"/>
      <c r="E72" s="185" t="s">
        <v>28</v>
      </c>
      <c r="F72" s="185"/>
      <c r="G72" s="185"/>
      <c r="H72" s="185"/>
      <c r="I72" s="185"/>
      <c r="J72" s="185"/>
      <c r="K72" s="185"/>
      <c r="L72" s="185"/>
      <c r="M72" s="185"/>
      <c r="N72" s="185"/>
      <c r="O72" s="185"/>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row>
    <row r="73" spans="1:45" ht="47.4" customHeight="1" x14ac:dyDescent="0.3">
      <c r="A73" s="1"/>
      <c r="B73" s="1"/>
      <c r="C73" s="1"/>
      <c r="D73" s="2"/>
      <c r="E73" s="185" t="s">
        <v>29</v>
      </c>
      <c r="F73" s="185"/>
      <c r="G73" s="185"/>
      <c r="H73" s="185"/>
      <c r="I73" s="185"/>
      <c r="J73" s="185"/>
      <c r="K73" s="185"/>
      <c r="L73" s="185"/>
      <c r="M73" s="185"/>
      <c r="N73" s="185"/>
      <c r="O73" s="185"/>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row>
    <row r="74" spans="1:45" x14ac:dyDescent="0.3">
      <c r="A74" s="1"/>
      <c r="B74" s="1"/>
      <c r="C74" s="1"/>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row>
    <row r="75" spans="1:45" ht="18.600000000000001" thickBot="1" x14ac:dyDescent="0.4">
      <c r="A75" s="1"/>
      <c r="B75" s="1"/>
      <c r="C75" s="1"/>
      <c r="D75" s="2"/>
      <c r="E75" s="7" t="s">
        <v>30</v>
      </c>
      <c r="F75" s="9"/>
      <c r="G75" s="9"/>
      <c r="H75" s="9"/>
      <c r="I75" s="9"/>
      <c r="J75" s="9"/>
      <c r="K75" s="9"/>
      <c r="L75" s="9"/>
      <c r="M75" s="9"/>
      <c r="N75" s="9"/>
      <c r="O75" s="9"/>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row>
    <row r="76" spans="1:45" ht="68.400000000000006" customHeight="1" thickTop="1" x14ac:dyDescent="0.3">
      <c r="A76" s="1"/>
      <c r="B76" s="1"/>
      <c r="C76" s="1"/>
      <c r="D76" s="2"/>
      <c r="E76" s="185" t="s">
        <v>281</v>
      </c>
      <c r="F76" s="185"/>
      <c r="G76" s="185"/>
      <c r="H76" s="185"/>
      <c r="I76" s="185"/>
      <c r="J76" s="185"/>
      <c r="K76" s="185"/>
      <c r="L76" s="185"/>
      <c r="M76" s="185"/>
      <c r="N76" s="185"/>
      <c r="O76" s="185"/>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row>
    <row r="77" spans="1:45" x14ac:dyDescent="0.3">
      <c r="A77" s="1"/>
      <c r="B77" s="1"/>
      <c r="C77" s="1"/>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row>
    <row r="78" spans="1:45" x14ac:dyDescent="0.3">
      <c r="A78" s="1"/>
      <c r="B78" s="1"/>
      <c r="C78" s="1"/>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row>
    <row r="79" spans="1:45" x14ac:dyDescent="0.3">
      <c r="A79" s="1"/>
      <c r="B79" s="1"/>
      <c r="C79" s="1"/>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row>
    <row r="80" spans="1:45" x14ac:dyDescent="0.3">
      <c r="A80" s="1"/>
      <c r="B80" s="1"/>
      <c r="C80" s="1"/>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x14ac:dyDescent="0.3">
      <c r="A81" s="1"/>
      <c r="B81" s="1"/>
      <c r="C81" s="1"/>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x14ac:dyDescent="0.3">
      <c r="A82" s="1"/>
      <c r="B82" s="1"/>
      <c r="C82" s="1"/>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x14ac:dyDescent="0.3">
      <c r="A83" s="1"/>
      <c r="B83" s="1"/>
      <c r="C83" s="1"/>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x14ac:dyDescent="0.3">
      <c r="A84" s="1"/>
      <c r="B84" s="1"/>
      <c r="C84" s="1"/>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x14ac:dyDescent="0.3">
      <c r="A85" s="1"/>
      <c r="B85" s="1"/>
      <c r="C85" s="1"/>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x14ac:dyDescent="0.3">
      <c r="A86" s="1"/>
      <c r="B86" s="1"/>
      <c r="C86" s="1"/>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x14ac:dyDescent="0.3">
      <c r="A87" s="1"/>
      <c r="B87" s="1"/>
      <c r="C87" s="1"/>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x14ac:dyDescent="0.3">
      <c r="A88" s="1"/>
      <c r="B88" s="1"/>
      <c r="C88" s="1"/>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x14ac:dyDescent="0.3">
      <c r="A89" s="1"/>
      <c r="B89" s="1"/>
      <c r="C89" s="1"/>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x14ac:dyDescent="0.3">
      <c r="A90" s="1"/>
      <c r="B90" s="1"/>
      <c r="C90" s="1"/>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x14ac:dyDescent="0.3">
      <c r="A91" s="1"/>
      <c r="B91" s="1"/>
      <c r="C91" s="1"/>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x14ac:dyDescent="0.3">
      <c r="A92" s="1"/>
      <c r="B92" s="1"/>
      <c r="C92" s="1"/>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x14ac:dyDescent="0.3">
      <c r="A93" s="1"/>
      <c r="B93" s="1"/>
      <c r="C93" s="1"/>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x14ac:dyDescent="0.3">
      <c r="A94" s="1"/>
      <c r="B94" s="1"/>
      <c r="C94" s="1"/>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x14ac:dyDescent="0.3">
      <c r="A95" s="1"/>
      <c r="B95" s="1"/>
      <c r="C95" s="1"/>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x14ac:dyDescent="0.3">
      <c r="A96" s="1"/>
      <c r="B96" s="1"/>
      <c r="C96" s="1"/>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x14ac:dyDescent="0.3">
      <c r="A97" s="1"/>
      <c r="B97" s="1"/>
      <c r="C97" s="1"/>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x14ac:dyDescent="0.3">
      <c r="A98" s="1"/>
      <c r="B98" s="1"/>
      <c r="C98" s="1"/>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x14ac:dyDescent="0.3">
      <c r="A99" s="1"/>
      <c r="B99" s="1"/>
      <c r="C99" s="1"/>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x14ac:dyDescent="0.3">
      <c r="A100" s="1"/>
      <c r="B100" s="1"/>
      <c r="C100" s="1"/>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x14ac:dyDescent="0.3">
      <c r="A101" s="1"/>
      <c r="B101" s="1"/>
      <c r="C101" s="1"/>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x14ac:dyDescent="0.3">
      <c r="A102" s="1"/>
      <c r="B102" s="1"/>
      <c r="C102" s="1"/>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x14ac:dyDescent="0.3">
      <c r="A103" s="1"/>
      <c r="B103" s="1"/>
      <c r="C103" s="1"/>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x14ac:dyDescent="0.3">
      <c r="A104" s="1"/>
      <c r="B104" s="1"/>
      <c r="C104" s="1"/>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x14ac:dyDescent="0.3">
      <c r="A105" s="1"/>
      <c r="B105" s="1"/>
      <c r="C105" s="1"/>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x14ac:dyDescent="0.3">
      <c r="A106" s="1"/>
      <c r="B106" s="1"/>
      <c r="C106" s="1"/>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x14ac:dyDescent="0.3">
      <c r="A107" s="1"/>
      <c r="B107" s="1"/>
      <c r="C107" s="1"/>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x14ac:dyDescent="0.3">
      <c r="A108" s="1"/>
      <c r="B108" s="1"/>
      <c r="C108" s="1"/>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x14ac:dyDescent="0.3">
      <c r="A109" s="1"/>
      <c r="B109" s="1"/>
      <c r="C109" s="1"/>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x14ac:dyDescent="0.3">
      <c r="A110" s="1"/>
      <c r="B110" s="1"/>
      <c r="C110" s="1"/>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x14ac:dyDescent="0.3">
      <c r="A111" s="1"/>
      <c r="B111" s="1"/>
      <c r="C111" s="1"/>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x14ac:dyDescent="0.3">
      <c r="A112" s="1"/>
      <c r="B112" s="1"/>
      <c r="C112" s="1"/>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x14ac:dyDescent="0.3">
      <c r="A113" s="1"/>
      <c r="B113" s="1"/>
      <c r="C113" s="1"/>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x14ac:dyDescent="0.3">
      <c r="A114" s="1"/>
      <c r="B114" s="1"/>
      <c r="C114" s="1"/>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x14ac:dyDescent="0.3">
      <c r="A115" s="1"/>
      <c r="B115" s="1"/>
      <c r="C115" s="1"/>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x14ac:dyDescent="0.3">
      <c r="A116" s="1"/>
      <c r="B116" s="1"/>
      <c r="C116" s="1"/>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sheetData>
  <sheetProtection algorithmName="SHA-512" hashValue="Zhlg2SrjH0cMGA5N1ctutkcaFXC1w+1IU8NXACQM/ys9I0oOSxq8cRCVYlNtLdTQorPbOJ+WsRrrF5LzRvLBcQ==" saltValue="KmEgd/aVgd+M7txah+mgfw==" spinCount="100000" sheet="1" objects="1" scenarios="1"/>
  <mergeCells count="30">
    <mergeCell ref="E3:Q3"/>
    <mergeCell ref="E9:O10"/>
    <mergeCell ref="E13:O13"/>
    <mergeCell ref="E17:O17"/>
    <mergeCell ref="E25:O25"/>
    <mergeCell ref="E31:O31"/>
    <mergeCell ref="E26:O26"/>
    <mergeCell ref="E21:N21"/>
    <mergeCell ref="E24:O24"/>
    <mergeCell ref="E27:O27"/>
    <mergeCell ref="E28:O28"/>
    <mergeCell ref="E39:O39"/>
    <mergeCell ref="E48:O48"/>
    <mergeCell ref="E49:O49"/>
    <mergeCell ref="E50:O50"/>
    <mergeCell ref="E47:O47"/>
    <mergeCell ref="E73:O73"/>
    <mergeCell ref="E76:O76"/>
    <mergeCell ref="E69:O69"/>
    <mergeCell ref="E72:O72"/>
    <mergeCell ref="E51:O51"/>
    <mergeCell ref="E54:O54"/>
    <mergeCell ref="E59:O59"/>
    <mergeCell ref="E61:O61"/>
    <mergeCell ref="E55:O55"/>
    <mergeCell ref="E62:O62"/>
    <mergeCell ref="E56:O56"/>
    <mergeCell ref="E65:O65"/>
    <mergeCell ref="E66:O66"/>
    <mergeCell ref="E70:O7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A9919-DA69-44D4-A73C-FA4DFDEB479B}">
  <sheetPr codeName="Sheet7">
    <tabColor theme="3"/>
  </sheetPr>
  <dimension ref="A1:AU249"/>
  <sheetViews>
    <sheetView tabSelected="1" topLeftCell="A71" zoomScale="80" zoomScaleNormal="80" workbookViewId="0">
      <selection activeCell="I46" sqref="I46"/>
    </sheetView>
  </sheetViews>
  <sheetFormatPr defaultColWidth="8.88671875" defaultRowHeight="14.4" x14ac:dyDescent="0.3"/>
  <cols>
    <col min="1" max="2" width="9.44140625" style="81" customWidth="1"/>
    <col min="3" max="3" width="9.88671875" style="81" customWidth="1"/>
    <col min="4" max="4" width="8.88671875" style="81"/>
    <col min="5" max="5" width="46.5546875" style="81" customWidth="1"/>
    <col min="6" max="6" width="14" style="81" customWidth="1"/>
    <col min="7" max="7" width="14.44140625" style="81" customWidth="1"/>
    <col min="8" max="8" width="15.109375" style="81" customWidth="1"/>
    <col min="9" max="12" width="14" style="81" customWidth="1"/>
    <col min="13" max="15" width="15.5546875" style="81" customWidth="1"/>
    <col min="16" max="16" width="13.109375" style="81" customWidth="1"/>
    <col min="17" max="17" width="8.88671875" style="81"/>
    <col min="18" max="18" width="10" style="81" bestFit="1" customWidth="1"/>
    <col min="19" max="19" width="12" style="81" bestFit="1" customWidth="1"/>
    <col min="20" max="16384" width="8.88671875" style="81"/>
  </cols>
  <sheetData>
    <row r="1" spans="1:45" x14ac:dyDescent="0.3">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ht="32.4" customHeight="1" x14ac:dyDescent="0.3">
      <c r="A2" s="80"/>
      <c r="B2" s="80"/>
      <c r="C2" s="80"/>
      <c r="D2" s="80"/>
      <c r="E2" s="3" t="s">
        <v>327</v>
      </c>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row>
    <row r="3" spans="1:45" ht="28.05" customHeight="1" x14ac:dyDescent="0.3">
      <c r="A3" s="80"/>
      <c r="B3" s="80"/>
      <c r="C3" s="80"/>
      <c r="D3" s="80"/>
      <c r="E3" s="188" t="s">
        <v>332</v>
      </c>
      <c r="F3" s="188"/>
      <c r="G3" s="188"/>
      <c r="H3" s="188"/>
      <c r="I3" s="188"/>
      <c r="J3" s="188"/>
      <c r="K3" s="188"/>
      <c r="L3" s="188"/>
      <c r="M3" s="188"/>
      <c r="N3" s="188"/>
      <c r="O3" s="188"/>
      <c r="P3" s="188"/>
      <c r="Q3" s="188"/>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row>
    <row r="4" spans="1:45" x14ac:dyDescent="0.3">
      <c r="A4" s="80"/>
      <c r="B4" s="80"/>
      <c r="C4" s="80"/>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row>
    <row r="5" spans="1:45" ht="17.100000000000001" customHeight="1" x14ac:dyDescent="0.3">
      <c r="A5" s="80"/>
      <c r="B5" s="80"/>
      <c r="C5" s="80"/>
      <c r="D5" s="83"/>
      <c r="E5" s="84"/>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row>
    <row r="6" spans="1:45" ht="18.600000000000001" thickBot="1" x14ac:dyDescent="0.4">
      <c r="A6" s="80"/>
      <c r="B6" s="80"/>
      <c r="C6" s="80"/>
      <c r="D6" s="83"/>
      <c r="E6" s="85" t="s">
        <v>32</v>
      </c>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row>
    <row r="7" spans="1:45" x14ac:dyDescent="0.3">
      <c r="A7" s="80"/>
      <c r="B7" s="80"/>
      <c r="C7" s="80"/>
      <c r="D7" s="83"/>
      <c r="E7" s="87"/>
      <c r="F7" s="87"/>
      <c r="G7" s="87"/>
      <c r="H7" s="87"/>
      <c r="I7" s="87"/>
      <c r="J7" s="87"/>
      <c r="K7" s="87"/>
      <c r="L7" s="87"/>
      <c r="M7" s="87"/>
      <c r="N7" s="87"/>
      <c r="O7" s="87"/>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row>
    <row r="8" spans="1:45" x14ac:dyDescent="0.3">
      <c r="A8" s="80"/>
      <c r="B8" s="80"/>
      <c r="C8" s="80"/>
      <c r="D8" s="83"/>
      <c r="E8" s="87"/>
      <c r="F8" s="87"/>
      <c r="G8" s="87"/>
      <c r="H8" s="87"/>
      <c r="I8" s="87"/>
      <c r="J8" s="87"/>
      <c r="K8" s="87"/>
      <c r="L8" s="87"/>
      <c r="M8" s="87"/>
      <c r="N8" s="87"/>
      <c r="O8" s="87"/>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row>
    <row r="9" spans="1:45" x14ac:dyDescent="0.3">
      <c r="A9" s="80"/>
      <c r="B9" s="80"/>
      <c r="C9" s="80"/>
      <c r="D9" s="83"/>
      <c r="E9" s="87"/>
      <c r="F9" s="87"/>
      <c r="G9" s="87"/>
      <c r="H9" s="87"/>
      <c r="I9" s="87"/>
      <c r="J9" s="87"/>
      <c r="K9" s="87"/>
      <c r="L9" s="87"/>
      <c r="M9" s="87"/>
      <c r="N9" s="87"/>
      <c r="O9" s="87"/>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row>
    <row r="10" spans="1:45" ht="15" customHeight="1" x14ac:dyDescent="0.3">
      <c r="A10" s="80"/>
      <c r="B10" s="80"/>
      <c r="C10" s="80"/>
      <c r="D10" s="83"/>
      <c r="E10" s="88" t="s">
        <v>33</v>
      </c>
      <c r="F10" s="84"/>
      <c r="G10" s="84"/>
      <c r="H10" s="84"/>
      <c r="I10" s="84"/>
      <c r="J10" s="89" t="str">
        <f>IF(setting_LoSopt=1,"Please enter the relevant length of stay for each treatment in the Customised Value column below","")</f>
        <v/>
      </c>
      <c r="K10" s="84"/>
      <c r="L10" s="84"/>
      <c r="M10" s="84"/>
      <c r="N10" s="84"/>
      <c r="O10" s="84"/>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row>
    <row r="11" spans="1:45" x14ac:dyDescent="0.3">
      <c r="A11" s="80"/>
      <c r="B11" s="80"/>
      <c r="C11" s="80"/>
      <c r="D11" s="83"/>
      <c r="E11" s="87"/>
      <c r="F11" s="87"/>
      <c r="G11" s="87"/>
      <c r="H11" s="87"/>
      <c r="I11" s="87"/>
      <c r="J11" s="90">
        <f>IF(setting_LoSopt=1,1,0)</f>
        <v>0</v>
      </c>
      <c r="K11" s="87"/>
      <c r="L11" s="87"/>
      <c r="M11" s="87"/>
      <c r="N11" s="87"/>
      <c r="O11" s="87"/>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row>
    <row r="12" spans="1:45" x14ac:dyDescent="0.3">
      <c r="A12" s="80"/>
      <c r="B12" s="80"/>
      <c r="C12" s="80"/>
      <c r="D12" s="83"/>
      <c r="E12" s="87"/>
      <c r="F12" s="87"/>
      <c r="G12" s="87"/>
      <c r="H12" s="87"/>
      <c r="I12" s="87"/>
      <c r="J12" s="90"/>
      <c r="K12" s="87"/>
      <c r="L12" s="87"/>
      <c r="M12" s="87"/>
      <c r="N12" s="87"/>
      <c r="O12" s="87"/>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row>
    <row r="13" spans="1:45" x14ac:dyDescent="0.3">
      <c r="A13" s="80"/>
      <c r="B13" s="80"/>
      <c r="C13" s="80"/>
      <c r="D13" s="83"/>
      <c r="E13" s="87"/>
      <c r="F13" s="87"/>
      <c r="G13" s="87"/>
      <c r="H13" s="87"/>
      <c r="I13" s="87"/>
      <c r="J13" s="90"/>
      <c r="K13" s="87"/>
      <c r="L13" s="87"/>
      <c r="M13" s="87"/>
      <c r="N13" s="87"/>
      <c r="O13" s="87"/>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row>
    <row r="14" spans="1:45" ht="43.65" customHeight="1" x14ac:dyDescent="0.3">
      <c r="A14" s="80"/>
      <c r="B14" s="80"/>
      <c r="C14" s="80"/>
      <c r="D14" s="83"/>
      <c r="E14" s="91" t="s">
        <v>34</v>
      </c>
      <c r="F14" s="195" t="str">
        <f>List!B16</f>
        <v>Hospitalisation required for the length of antibiotic treatment</v>
      </c>
      <c r="G14" s="195"/>
      <c r="H14" s="195"/>
      <c r="I14" s="195"/>
      <c r="J14" s="195"/>
      <c r="K14" s="195"/>
      <c r="L14" s="87"/>
      <c r="M14" s="87"/>
      <c r="N14" s="87"/>
      <c r="O14" s="87"/>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row>
    <row r="15" spans="1:45" ht="43.65" customHeight="1" x14ac:dyDescent="0.3">
      <c r="A15" s="80"/>
      <c r="B15" s="80"/>
      <c r="C15" s="80"/>
      <c r="D15" s="83"/>
      <c r="E15" s="91" t="s">
        <v>35</v>
      </c>
      <c r="F15" s="195" t="str">
        <f>CHOOSE(setting_LoSopt,List!B87,List!C87,List!D87,List!E87,List!F87)</f>
        <v>A patient who could be discharged but has a high likelihood of non-adherence to outpatient treatment (e.g., homeless, PWID)</v>
      </c>
      <c r="G15" s="195"/>
      <c r="H15" s="195"/>
      <c r="I15" s="195"/>
      <c r="J15" s="195"/>
      <c r="K15" s="195"/>
      <c r="L15" s="87"/>
      <c r="M15" s="87"/>
      <c r="N15" s="87"/>
      <c r="O15" s="87"/>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row>
    <row r="16" spans="1:45" ht="43.65" customHeight="1" x14ac:dyDescent="0.3">
      <c r="A16" s="80"/>
      <c r="B16" s="80"/>
      <c r="C16" s="80"/>
      <c r="D16" s="83"/>
      <c r="E16" s="91" t="s">
        <v>36</v>
      </c>
      <c r="F16" s="195" t="str">
        <f>CHOOSE(setting_LoSopt,List!B95,List!C95,List!D95,List!E95,List!F95)</f>
        <v>Xydalba: no hospitalisation; Comparators: hospital length of stay is set equal to the length of antibiotic treatment</v>
      </c>
      <c r="G16" s="195"/>
      <c r="H16" s="195"/>
      <c r="I16" s="195"/>
      <c r="J16" s="195"/>
      <c r="K16" s="195"/>
      <c r="L16" s="87"/>
      <c r="M16" s="87"/>
      <c r="N16" s="87"/>
      <c r="O16" s="87"/>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row>
    <row r="17" spans="1:45" x14ac:dyDescent="0.3">
      <c r="A17" s="80"/>
      <c r="B17" s="80"/>
      <c r="C17" s="80"/>
      <c r="D17" s="83"/>
      <c r="E17" s="87"/>
      <c r="F17" s="87"/>
      <c r="G17" s="87"/>
      <c r="H17" s="87"/>
      <c r="I17" s="87"/>
      <c r="J17" s="87"/>
      <c r="K17" s="87"/>
      <c r="L17" s="87"/>
      <c r="M17" s="87"/>
      <c r="N17" s="87"/>
      <c r="O17" s="87"/>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row>
    <row r="18" spans="1:45" ht="42" customHeight="1" x14ac:dyDescent="0.3">
      <c r="A18" s="80"/>
      <c r="B18" s="80"/>
      <c r="C18" s="80"/>
      <c r="D18" s="83"/>
      <c r="E18" s="197" t="s">
        <v>330</v>
      </c>
      <c r="F18" s="197"/>
      <c r="G18" s="197"/>
      <c r="H18" s="197"/>
      <c r="I18" s="197"/>
      <c r="J18" s="197"/>
      <c r="K18" s="197"/>
      <c r="L18" s="87"/>
      <c r="M18" s="87"/>
      <c r="N18" s="87"/>
      <c r="O18" s="87"/>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row>
    <row r="19" spans="1:45" ht="18" customHeight="1" thickBot="1" x14ac:dyDescent="0.35">
      <c r="A19" s="80"/>
      <c r="B19" s="80"/>
      <c r="C19" s="80"/>
      <c r="D19" s="83"/>
      <c r="E19" s="87"/>
      <c r="F19" s="196" t="s">
        <v>37</v>
      </c>
      <c r="G19" s="196"/>
      <c r="H19" s="196"/>
      <c r="I19" s="87"/>
      <c r="J19" s="87"/>
      <c r="K19" s="87"/>
      <c r="L19" s="87"/>
      <c r="M19" s="87"/>
      <c r="N19" s="87"/>
      <c r="O19" s="87"/>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row>
    <row r="20" spans="1:45" ht="28.8" customHeight="1" x14ac:dyDescent="0.3">
      <c r="A20" s="80"/>
      <c r="B20" s="80"/>
      <c r="C20" s="80"/>
      <c r="D20" s="83"/>
      <c r="E20" s="92" t="s">
        <v>38</v>
      </c>
      <c r="F20" s="93" t="s">
        <v>39</v>
      </c>
      <c r="G20" s="93" t="s">
        <v>40</v>
      </c>
      <c r="H20" s="93" t="s">
        <v>41</v>
      </c>
      <c r="I20" s="83"/>
      <c r="J20" s="87"/>
      <c r="K20" s="95"/>
      <c r="L20" s="95"/>
      <c r="M20" s="95"/>
      <c r="N20" s="95"/>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row>
    <row r="21" spans="1:45" x14ac:dyDescent="0.3">
      <c r="A21" s="80"/>
      <c r="B21" s="80"/>
      <c r="C21" s="80"/>
      <c r="D21" s="83"/>
      <c r="E21" s="87" t="s">
        <v>336</v>
      </c>
      <c r="F21" s="126">
        <f>CHOOSE(setting_LoSopt,"",List!C88,List!D88,List!E88,List!F88)</f>
        <v>0</v>
      </c>
      <c r="G21" s="126">
        <v>0</v>
      </c>
      <c r="H21" s="126">
        <f t="shared" ref="H21:H27" si="0">IF(setting_LoSopt=1,G21,F21)</f>
        <v>0</v>
      </c>
      <c r="I21" s="83"/>
      <c r="J21" s="87"/>
      <c r="K21" s="87"/>
      <c r="L21" s="87"/>
      <c r="M21" s="87"/>
      <c r="N21" s="87"/>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row>
    <row r="22" spans="1:45" x14ac:dyDescent="0.3">
      <c r="A22" s="80"/>
      <c r="B22" s="80"/>
      <c r="C22" s="80"/>
      <c r="D22" s="83"/>
      <c r="E22" s="87" t="str">
        <f>E47</f>
        <v>Vancomycin IV</v>
      </c>
      <c r="F22" s="126">
        <f>CHOOSE(setting_LoSopt,"",List!C89,List!D89,List!E89,List!F89)</f>
        <v>14</v>
      </c>
      <c r="G22" s="71">
        <v>7</v>
      </c>
      <c r="H22" s="126">
        <f t="shared" si="0"/>
        <v>14</v>
      </c>
      <c r="I22" s="83"/>
      <c r="J22" s="168"/>
      <c r="K22" s="87"/>
      <c r="L22" s="87"/>
      <c r="M22" s="87"/>
      <c r="N22" s="87"/>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row>
    <row r="23" spans="1:45" x14ac:dyDescent="0.3">
      <c r="A23" s="80"/>
      <c r="B23" s="80"/>
      <c r="C23" s="80"/>
      <c r="D23" s="83"/>
      <c r="E23" s="87" t="str">
        <f>E48</f>
        <v>Linezolid IV</v>
      </c>
      <c r="F23" s="126">
        <f>CHOOSE(setting_LoSopt,"",List!C90,List!D90,List!E90,List!F90)</f>
        <v>14</v>
      </c>
      <c r="G23" s="71">
        <v>7</v>
      </c>
      <c r="H23" s="126">
        <f t="shared" si="0"/>
        <v>14</v>
      </c>
      <c r="I23" s="83"/>
      <c r="J23" s="94"/>
      <c r="K23" s="94"/>
      <c r="L23" s="94"/>
      <c r="M23" s="94"/>
      <c r="N23" s="94"/>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row>
    <row r="24" spans="1:45" x14ac:dyDescent="0.3">
      <c r="A24" s="80"/>
      <c r="B24" s="80"/>
      <c r="C24" s="80"/>
      <c r="D24" s="83"/>
      <c r="E24" s="87" t="str">
        <f>E53</f>
        <v>Daptomycin</v>
      </c>
      <c r="F24" s="126">
        <f>CHOOSE(setting_LoSopt,"",List!C91,List!D91,List!E91,List!F91)</f>
        <v>14</v>
      </c>
      <c r="G24" s="71">
        <v>7</v>
      </c>
      <c r="H24" s="126">
        <f t="shared" si="0"/>
        <v>14</v>
      </c>
      <c r="I24" s="83"/>
      <c r="J24" s="84"/>
      <c r="K24" s="95"/>
      <c r="L24" s="95"/>
      <c r="M24" s="95"/>
      <c r="N24" s="95"/>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1:45" x14ac:dyDescent="0.3">
      <c r="A25" s="80"/>
      <c r="B25" s="80"/>
      <c r="C25" s="80"/>
      <c r="D25" s="83"/>
      <c r="E25" s="87" t="str">
        <f>E49</f>
        <v>Cefazolin IV</v>
      </c>
      <c r="F25" s="126">
        <f>CHOOSE(setting_LoSopt,"",List!C92,List!D92,List!E92,List!F92)</f>
        <v>14</v>
      </c>
      <c r="G25" s="71">
        <v>7</v>
      </c>
      <c r="H25" s="126">
        <f t="shared" si="0"/>
        <v>14</v>
      </c>
      <c r="I25" s="83"/>
      <c r="K25" s="84"/>
      <c r="L25" s="84"/>
      <c r="M25" s="84"/>
      <c r="N25" s="84"/>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row>
    <row r="26" spans="1:45" x14ac:dyDescent="0.3">
      <c r="A26" s="80"/>
      <c r="B26" s="80"/>
      <c r="C26" s="80"/>
      <c r="D26" s="83"/>
      <c r="E26" s="87" t="str">
        <f>E50</f>
        <v>Ceftriaxone IV</v>
      </c>
      <c r="F26" s="126">
        <f>CHOOSE(setting_LoSopt,"",List!C93,List!D93,List!E93,List!F93)</f>
        <v>14</v>
      </c>
      <c r="G26" s="71">
        <v>7</v>
      </c>
      <c r="H26" s="126">
        <f t="shared" si="0"/>
        <v>14</v>
      </c>
      <c r="I26" s="83"/>
      <c r="J26" s="84"/>
      <c r="K26" s="83"/>
      <c r="L26" s="84"/>
      <c r="M26" s="84"/>
      <c r="N26" s="84"/>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row>
    <row r="27" spans="1:45" x14ac:dyDescent="0.3">
      <c r="A27" s="80"/>
      <c r="B27" s="80"/>
      <c r="C27" s="80"/>
      <c r="D27" s="83"/>
      <c r="E27" s="87" t="s">
        <v>285</v>
      </c>
      <c r="F27" s="126">
        <f>CHOOSE(setting_LoSopt,"",List!C94,List!D94,List!E94,List!F94)</f>
        <v>14</v>
      </c>
      <c r="G27" s="71"/>
      <c r="H27" s="126">
        <f t="shared" si="0"/>
        <v>14</v>
      </c>
      <c r="I27" s="83"/>
      <c r="J27" s="84"/>
      <c r="K27" s="83"/>
      <c r="L27" s="84"/>
      <c r="M27" s="84"/>
      <c r="N27" s="84"/>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row>
    <row r="28" spans="1:45" x14ac:dyDescent="0.3">
      <c r="A28" s="80"/>
      <c r="B28" s="80"/>
      <c r="C28" s="80"/>
      <c r="D28" s="83"/>
      <c r="E28" s="96"/>
      <c r="F28" s="84"/>
      <c r="G28" s="84"/>
      <c r="H28" s="84"/>
      <c r="I28" s="84"/>
      <c r="J28" s="84"/>
      <c r="K28" s="84"/>
      <c r="L28" s="84"/>
      <c r="M28" s="84"/>
      <c r="N28" s="84"/>
      <c r="O28" s="84"/>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row>
    <row r="29" spans="1:45" x14ac:dyDescent="0.3">
      <c r="A29" s="80"/>
      <c r="B29" s="80"/>
      <c r="C29" s="80"/>
      <c r="D29" s="83"/>
      <c r="E29" s="97"/>
      <c r="F29" s="84"/>
      <c r="G29" s="84"/>
      <c r="H29" s="84"/>
      <c r="I29" s="84"/>
      <c r="J29" s="84"/>
      <c r="K29" s="84"/>
      <c r="L29" s="84"/>
      <c r="M29" s="84"/>
      <c r="N29" s="84"/>
      <c r="O29" s="84"/>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row>
    <row r="30" spans="1:45" x14ac:dyDescent="0.3">
      <c r="A30" s="80"/>
      <c r="B30" s="80"/>
      <c r="C30" s="80"/>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row>
    <row r="31" spans="1:45" ht="15" customHeight="1" thickBot="1" x14ac:dyDescent="0.4">
      <c r="A31" s="80"/>
      <c r="B31" s="80"/>
      <c r="C31" s="80"/>
      <c r="D31" s="83"/>
      <c r="E31" s="85" t="s">
        <v>43</v>
      </c>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row>
    <row r="32" spans="1:45" ht="15" customHeight="1" x14ac:dyDescent="0.3">
      <c r="A32" s="80"/>
      <c r="B32" s="80"/>
      <c r="C32" s="80"/>
      <c r="D32" s="83"/>
      <c r="E32" s="84"/>
      <c r="F32" s="84"/>
      <c r="G32" s="84"/>
      <c r="H32" s="84"/>
      <c r="I32" s="84"/>
      <c r="J32" s="84"/>
      <c r="K32" s="84"/>
      <c r="L32" s="84"/>
      <c r="M32" s="84"/>
      <c r="N32" s="84"/>
      <c r="O32" s="84"/>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row>
    <row r="33" spans="1:46" ht="15" customHeight="1" x14ac:dyDescent="0.3">
      <c r="A33" s="80"/>
      <c r="B33" s="80"/>
      <c r="C33" s="80"/>
      <c r="D33" s="83"/>
      <c r="E33" s="88"/>
      <c r="F33" s="84"/>
      <c r="G33" s="84"/>
      <c r="H33" s="84"/>
      <c r="I33" s="84"/>
      <c r="J33" s="84"/>
      <c r="K33" s="84"/>
      <c r="L33" s="84"/>
      <c r="M33" s="84"/>
      <c r="N33" s="84"/>
      <c r="O33" s="84"/>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row>
    <row r="34" spans="1:46" ht="15" customHeight="1" x14ac:dyDescent="0.3">
      <c r="A34" s="80"/>
      <c r="B34" s="80"/>
      <c r="C34" s="80"/>
      <c r="D34" s="83"/>
      <c r="E34" s="97" t="s">
        <v>44</v>
      </c>
      <c r="F34" s="72">
        <f>2871.5/1500</f>
        <v>1.9143333333333334</v>
      </c>
      <c r="G34" s="150" t="s">
        <v>45</v>
      </c>
      <c r="H34" s="84"/>
      <c r="I34" s="84"/>
      <c r="J34" s="84"/>
      <c r="K34" s="84"/>
      <c r="L34" s="84"/>
      <c r="M34" s="84"/>
      <c r="N34" s="84"/>
      <c r="O34" s="84"/>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row>
    <row r="35" spans="1:46" ht="15" customHeight="1" x14ac:dyDescent="0.3">
      <c r="A35" s="80"/>
      <c r="B35" s="80"/>
      <c r="C35" s="80"/>
      <c r="D35" s="83"/>
      <c r="E35" s="88"/>
      <c r="F35" s="84"/>
      <c r="G35" s="84"/>
      <c r="H35" s="84"/>
      <c r="I35" s="84"/>
      <c r="J35" s="84"/>
      <c r="K35" s="84"/>
      <c r="L35" s="84"/>
      <c r="M35" s="84"/>
      <c r="N35" s="84"/>
      <c r="O35" s="84"/>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row>
    <row r="36" spans="1:46" ht="15" customHeight="1" x14ac:dyDescent="0.3">
      <c r="A36" s="80"/>
      <c r="B36" s="80"/>
      <c r="C36" s="80"/>
      <c r="D36" s="83"/>
      <c r="E36" s="88"/>
      <c r="F36" s="84"/>
      <c r="G36" s="84"/>
      <c r="H36" s="84"/>
      <c r="I36" s="84"/>
      <c r="J36" s="84"/>
      <c r="K36" s="84"/>
      <c r="L36" s="84"/>
      <c r="M36" s="84"/>
      <c r="N36" s="84"/>
      <c r="O36" s="84"/>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row>
    <row r="37" spans="1:46" ht="15" customHeight="1" x14ac:dyDescent="0.3">
      <c r="A37" s="80"/>
      <c r="B37" s="80"/>
      <c r="C37" s="80"/>
      <c r="D37" s="83"/>
      <c r="E37" s="97" t="s">
        <v>46</v>
      </c>
      <c r="F37" s="84"/>
      <c r="G37" s="84"/>
      <c r="H37" s="84"/>
      <c r="I37" s="84"/>
      <c r="J37" s="84"/>
      <c r="K37" s="84"/>
      <c r="L37" s="84"/>
      <c r="M37" s="84"/>
      <c r="N37" s="84"/>
      <c r="O37" s="84"/>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row>
    <row r="38" spans="1:46" ht="15" customHeight="1" x14ac:dyDescent="0.3">
      <c r="A38" s="80"/>
      <c r="B38" s="80"/>
      <c r="C38" s="80"/>
      <c r="D38" s="83"/>
      <c r="E38" s="88"/>
      <c r="F38" s="84"/>
      <c r="G38" s="84"/>
      <c r="H38" s="84"/>
      <c r="I38" s="84"/>
      <c r="J38" s="84"/>
      <c r="K38" s="84"/>
      <c r="L38" s="84"/>
      <c r="M38" s="84"/>
      <c r="N38" s="84"/>
      <c r="O38" s="84"/>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row>
    <row r="39" spans="1:46" ht="15" customHeight="1" x14ac:dyDescent="0.3">
      <c r="A39" s="80"/>
      <c r="B39" s="80"/>
      <c r="C39" s="80"/>
      <c r="D39" s="83"/>
      <c r="E39" s="88"/>
      <c r="F39" s="84"/>
      <c r="G39" s="84"/>
      <c r="H39" s="84"/>
      <c r="I39" s="84"/>
      <c r="J39" s="84"/>
      <c r="K39" s="84"/>
      <c r="L39" s="84"/>
      <c r="M39" s="84"/>
      <c r="N39" s="84"/>
      <c r="O39" s="84"/>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row>
    <row r="40" spans="1:46" ht="28.65" customHeight="1" x14ac:dyDescent="0.3">
      <c r="A40" s="80"/>
      <c r="B40" s="80"/>
      <c r="C40" s="80"/>
      <c r="D40" s="83"/>
      <c r="E40" s="88"/>
      <c r="F40" s="99" t="s">
        <v>47</v>
      </c>
      <c r="G40" s="99" t="s">
        <v>48</v>
      </c>
      <c r="H40" s="99" t="s">
        <v>49</v>
      </c>
      <c r="I40" s="84"/>
      <c r="J40" s="84"/>
      <c r="K40" s="84"/>
      <c r="L40" s="84"/>
      <c r="M40" s="84"/>
      <c r="N40" s="84"/>
      <c r="O40" s="84"/>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row>
    <row r="41" spans="1:46" ht="15" customHeight="1" x14ac:dyDescent="0.3">
      <c r="A41" s="80"/>
      <c r="B41" s="80"/>
      <c r="C41" s="80"/>
      <c r="D41" s="83"/>
      <c r="E41" s="97" t="s">
        <v>50</v>
      </c>
      <c r="F41" s="142">
        <f>IF(H21&gt;0,IF(setting_Xyd_dose=1,1500,IF(H21&lt;8,1000,1500)),0)</f>
        <v>0</v>
      </c>
      <c r="G41" s="142">
        <f>1500-F41</f>
        <v>1500</v>
      </c>
      <c r="H41" s="142">
        <f>SUM(F41:G41)</f>
        <v>1500</v>
      </c>
      <c r="I41" s="84"/>
      <c r="J41" s="84"/>
      <c r="K41" s="84"/>
      <c r="L41" s="84"/>
      <c r="M41" s="84"/>
      <c r="N41" s="84"/>
      <c r="O41" s="84"/>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row>
    <row r="42" spans="1:46" ht="15" customHeight="1" x14ac:dyDescent="0.3">
      <c r="A42" s="80"/>
      <c r="B42" s="80"/>
      <c r="C42" s="80"/>
      <c r="D42" s="83"/>
      <c r="E42" s="97" t="s">
        <v>51</v>
      </c>
      <c r="F42" s="135">
        <f>F41*$F34</f>
        <v>0</v>
      </c>
      <c r="G42" s="135">
        <f>G41*$F34</f>
        <v>2871.5</v>
      </c>
      <c r="H42" s="135">
        <f>SUM(F42:G42)</f>
        <v>2871.5</v>
      </c>
      <c r="I42" s="84"/>
      <c r="J42" s="84"/>
      <c r="K42" s="84"/>
      <c r="L42" s="84"/>
      <c r="M42" s="84"/>
      <c r="N42" s="84"/>
      <c r="O42" s="84"/>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row>
    <row r="43" spans="1:46" ht="15" customHeight="1" x14ac:dyDescent="0.3">
      <c r="A43" s="80"/>
      <c r="B43" s="80"/>
      <c r="C43" s="80"/>
      <c r="D43" s="83"/>
      <c r="E43" s="84"/>
      <c r="F43" s="84"/>
      <c r="G43" s="84"/>
      <c r="H43" s="84"/>
      <c r="I43" s="84"/>
      <c r="J43" s="84"/>
      <c r="K43" s="84"/>
      <c r="L43" s="84"/>
      <c r="M43" s="84"/>
      <c r="N43" s="84"/>
      <c r="O43" s="84"/>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row>
    <row r="44" spans="1:46" ht="30" customHeight="1" x14ac:dyDescent="0.3">
      <c r="A44" s="80"/>
      <c r="B44" s="80"/>
      <c r="C44" s="80"/>
      <c r="D44" s="83"/>
      <c r="E44" s="138" t="s">
        <v>52</v>
      </c>
      <c r="F44" s="139">
        <v>14</v>
      </c>
      <c r="G44" s="193" t="s">
        <v>326</v>
      </c>
      <c r="H44" s="194"/>
      <c r="I44" s="194"/>
      <c r="J44" s="194"/>
      <c r="K44" s="194"/>
      <c r="L44" s="194"/>
      <c r="M44" s="194"/>
      <c r="N44" s="194"/>
      <c r="O44" s="194"/>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row>
    <row r="45" spans="1:46" ht="15" customHeight="1" x14ac:dyDescent="0.3">
      <c r="A45" s="80"/>
      <c r="B45" s="80"/>
      <c r="C45" s="80"/>
      <c r="D45" s="83"/>
      <c r="F45" s="84"/>
      <c r="G45" s="84"/>
      <c r="H45" s="84"/>
      <c r="I45" s="84"/>
      <c r="J45" s="84"/>
      <c r="K45" s="84"/>
      <c r="L45" s="84"/>
      <c r="M45" s="84"/>
      <c r="N45" s="84"/>
      <c r="O45" s="84"/>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row>
    <row r="46" spans="1:46" ht="48" customHeight="1" x14ac:dyDescent="0.3">
      <c r="A46" s="80"/>
      <c r="B46" s="80"/>
      <c r="C46" s="80"/>
      <c r="D46" s="83"/>
      <c r="E46" s="97" t="s">
        <v>53</v>
      </c>
      <c r="F46" s="98" t="s">
        <v>54</v>
      </c>
      <c r="G46" s="99" t="s">
        <v>55</v>
      </c>
      <c r="H46" s="98" t="s">
        <v>56</v>
      </c>
      <c r="I46" s="99" t="s">
        <v>57</v>
      </c>
      <c r="J46" s="98" t="s">
        <v>58</v>
      </c>
      <c r="K46" s="98" t="s">
        <v>59</v>
      </c>
      <c r="L46" s="98" t="s">
        <v>60</v>
      </c>
      <c r="M46" s="98" t="s">
        <v>61</v>
      </c>
      <c r="N46" s="98" t="s">
        <v>62</v>
      </c>
      <c r="O46" s="84"/>
      <c r="P46" s="84"/>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row>
    <row r="47" spans="1:46" x14ac:dyDescent="0.3">
      <c r="A47" s="80"/>
      <c r="B47" s="80"/>
      <c r="C47" s="80"/>
      <c r="D47" s="83"/>
      <c r="E47" s="83" t="s">
        <v>63</v>
      </c>
      <c r="F47" s="73">
        <v>1000</v>
      </c>
      <c r="G47" s="73">
        <v>2</v>
      </c>
      <c r="H47" s="74">
        <v>1.8780999999999999E-2</v>
      </c>
      <c r="I47" s="127">
        <f>F47*G47*H47</f>
        <v>37.561999999999998</v>
      </c>
      <c r="J47" s="73">
        <v>7</v>
      </c>
      <c r="K47" s="126">
        <v>4.8</v>
      </c>
      <c r="L47" s="135">
        <f>I47*MIN(J47,K47)</f>
        <v>180.29759999999999</v>
      </c>
      <c r="M47" s="135">
        <f>MAX(0,I47*(J47-K47))</f>
        <v>82.636399999999995</v>
      </c>
      <c r="N47" s="135">
        <f>SUM(L47:M47)</f>
        <v>262.93399999999997</v>
      </c>
      <c r="O47" s="171" t="s">
        <v>293</v>
      </c>
      <c r="P47" s="87"/>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row>
    <row r="48" spans="1:46" x14ac:dyDescent="0.3">
      <c r="A48" s="80"/>
      <c r="B48" s="80"/>
      <c r="C48" s="80"/>
      <c r="D48" s="83"/>
      <c r="E48" s="83" t="s">
        <v>64</v>
      </c>
      <c r="F48" s="73">
        <v>600</v>
      </c>
      <c r="G48" s="73">
        <v>2</v>
      </c>
      <c r="H48" s="74">
        <f>88.74/600</f>
        <v>0.1479</v>
      </c>
      <c r="I48" s="127">
        <f t="shared" ref="I48:I51" si="1">F48*G48*H48</f>
        <v>177.48000000000002</v>
      </c>
      <c r="J48" s="73">
        <v>7</v>
      </c>
      <c r="K48" s="126">
        <f>H23</f>
        <v>14</v>
      </c>
      <c r="L48" s="135">
        <f t="shared" ref="L48:L53" si="2">I48*MIN(J48,K48)</f>
        <v>1242.3600000000001</v>
      </c>
      <c r="M48" s="135">
        <f>MAX(0,I48*(J48-K48))</f>
        <v>0</v>
      </c>
      <c r="N48" s="135">
        <f t="shared" ref="N48:N53" si="3">SUM(L48:M48)</f>
        <v>1242.3600000000001</v>
      </c>
      <c r="O48" s="171" t="s">
        <v>292</v>
      </c>
      <c r="P48" s="87"/>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row>
    <row r="49" spans="1:46" x14ac:dyDescent="0.3">
      <c r="A49" s="80"/>
      <c r="B49" s="80"/>
      <c r="C49" s="80"/>
      <c r="D49" s="83"/>
      <c r="E49" s="83" t="s">
        <v>65</v>
      </c>
      <c r="F49" s="73">
        <v>1000</v>
      </c>
      <c r="G49" s="73">
        <f>24/8</f>
        <v>3</v>
      </c>
      <c r="H49" s="74">
        <f>6/1000</f>
        <v>6.0000000000000001E-3</v>
      </c>
      <c r="I49" s="127">
        <f t="shared" si="1"/>
        <v>18</v>
      </c>
      <c r="J49" s="73">
        <v>7</v>
      </c>
      <c r="K49" s="126">
        <f>H25</f>
        <v>14</v>
      </c>
      <c r="L49" s="135">
        <f t="shared" si="2"/>
        <v>126</v>
      </c>
      <c r="M49" s="135">
        <f t="shared" ref="M49:M53" si="4">MAX(0,I49*(J49-K49))</f>
        <v>0</v>
      </c>
      <c r="N49" s="135">
        <f t="shared" si="3"/>
        <v>126</v>
      </c>
      <c r="O49" s="171" t="s">
        <v>292</v>
      </c>
      <c r="P49" s="87"/>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row>
    <row r="50" spans="1:46" x14ac:dyDescent="0.3">
      <c r="A50" s="80"/>
      <c r="B50" s="80"/>
      <c r="C50" s="80"/>
      <c r="D50" s="83"/>
      <c r="E50" s="83" t="s">
        <v>66</v>
      </c>
      <c r="F50" s="73">
        <v>2000</v>
      </c>
      <c r="G50" s="73">
        <v>1</v>
      </c>
      <c r="H50" s="74">
        <f>12.49/1000</f>
        <v>1.2489999999999999E-2</v>
      </c>
      <c r="I50" s="127">
        <f t="shared" si="1"/>
        <v>24.98</v>
      </c>
      <c r="J50" s="73">
        <v>7</v>
      </c>
      <c r="K50" s="126">
        <f>H26</f>
        <v>14</v>
      </c>
      <c r="L50" s="135">
        <f t="shared" si="2"/>
        <v>174.86</v>
      </c>
      <c r="M50" s="135">
        <f t="shared" si="4"/>
        <v>0</v>
      </c>
      <c r="N50" s="135">
        <f t="shared" si="3"/>
        <v>174.86</v>
      </c>
      <c r="O50" s="171" t="s">
        <v>292</v>
      </c>
      <c r="P50" s="87"/>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row>
    <row r="51" spans="1:46" x14ac:dyDescent="0.3">
      <c r="A51" s="80"/>
      <c r="B51" s="80"/>
      <c r="C51" s="80"/>
      <c r="D51" s="83"/>
      <c r="E51" s="83" t="s">
        <v>285</v>
      </c>
      <c r="F51" s="73">
        <v>0</v>
      </c>
      <c r="G51" s="73">
        <v>0</v>
      </c>
      <c r="H51" s="74">
        <v>0</v>
      </c>
      <c r="I51" s="127">
        <f t="shared" si="1"/>
        <v>0</v>
      </c>
      <c r="J51" s="73">
        <v>7</v>
      </c>
      <c r="K51" s="126">
        <f>H27</f>
        <v>14</v>
      </c>
      <c r="L51" s="135">
        <f t="shared" ref="L51" si="5">I51*MIN(J51,K51)</f>
        <v>0</v>
      </c>
      <c r="M51" s="135">
        <f t="shared" ref="M51" si="6">MAX(0,I51*(J51-K51))</f>
        <v>0</v>
      </c>
      <c r="N51" s="135">
        <f t="shared" ref="N51" si="7">SUM(L51:M51)</f>
        <v>0</v>
      </c>
      <c r="O51" s="87"/>
      <c r="P51" s="87"/>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row>
    <row r="52" spans="1:46" ht="52.35" customHeight="1" x14ac:dyDescent="0.3">
      <c r="A52" s="80"/>
      <c r="B52" s="80"/>
      <c r="C52" s="80"/>
      <c r="D52" s="83"/>
      <c r="E52" s="87"/>
      <c r="F52" s="99" t="s">
        <v>67</v>
      </c>
      <c r="G52" s="99" t="s">
        <v>68</v>
      </c>
      <c r="H52" s="98" t="s">
        <v>56</v>
      </c>
      <c r="I52" s="99" t="s">
        <v>57</v>
      </c>
      <c r="J52" s="98" t="s">
        <v>58</v>
      </c>
      <c r="K52" s="98" t="s">
        <v>59</v>
      </c>
      <c r="L52" s="98" t="s">
        <v>289</v>
      </c>
      <c r="M52" s="98" t="s">
        <v>290</v>
      </c>
      <c r="N52" s="98" t="s">
        <v>62</v>
      </c>
      <c r="O52" s="87"/>
      <c r="P52" s="87"/>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row>
    <row r="53" spans="1:46" x14ac:dyDescent="0.3">
      <c r="A53" s="80"/>
      <c r="B53" s="80"/>
      <c r="C53" s="80"/>
      <c r="D53" s="83"/>
      <c r="E53" s="83" t="s">
        <v>71</v>
      </c>
      <c r="F53" s="73">
        <v>76</v>
      </c>
      <c r="G53" s="73">
        <v>6</v>
      </c>
      <c r="H53" s="74">
        <v>0.32469999999999999</v>
      </c>
      <c r="I53" s="127">
        <f>G53*F53*H53</f>
        <v>148.06319999999999</v>
      </c>
      <c r="J53" s="73">
        <v>7</v>
      </c>
      <c r="K53" s="126">
        <f>H24</f>
        <v>14</v>
      </c>
      <c r="L53" s="135">
        <f t="shared" si="2"/>
        <v>1036.4423999999999</v>
      </c>
      <c r="M53" s="135">
        <f t="shared" si="4"/>
        <v>0</v>
      </c>
      <c r="N53" s="135">
        <f t="shared" si="3"/>
        <v>1036.4423999999999</v>
      </c>
      <c r="O53" s="171" t="s">
        <v>292</v>
      </c>
      <c r="P53" s="87"/>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row>
    <row r="54" spans="1:46" x14ac:dyDescent="0.3">
      <c r="A54" s="80"/>
      <c r="B54" s="80"/>
      <c r="C54" s="80"/>
      <c r="D54" s="83"/>
      <c r="E54" s="117"/>
      <c r="F54" s="87"/>
      <c r="G54" s="87"/>
      <c r="H54" s="87"/>
      <c r="I54" s="87"/>
      <c r="J54" s="87"/>
      <c r="K54" s="87"/>
      <c r="L54" s="87"/>
      <c r="M54" s="87"/>
      <c r="N54" s="87"/>
      <c r="O54" s="87"/>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row>
    <row r="55" spans="1:46" x14ac:dyDescent="0.3">
      <c r="A55" s="80"/>
      <c r="B55" s="80"/>
      <c r="C55" s="80"/>
      <c r="D55" s="83"/>
      <c r="E55" s="100"/>
      <c r="F55" s="87"/>
      <c r="G55" s="87"/>
      <c r="H55" s="87"/>
      <c r="I55" s="87"/>
      <c r="J55" s="87"/>
      <c r="K55" s="87"/>
      <c r="L55" s="87"/>
      <c r="M55" s="87"/>
      <c r="N55" s="87"/>
      <c r="O55" s="87"/>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row>
    <row r="56" spans="1:46" x14ac:dyDescent="0.3">
      <c r="A56" s="80"/>
      <c r="B56" s="80"/>
      <c r="C56" s="80"/>
      <c r="D56" s="83"/>
      <c r="E56" s="101" t="s">
        <v>72</v>
      </c>
      <c r="F56" s="99" t="s">
        <v>57</v>
      </c>
      <c r="G56" s="102" t="s">
        <v>73</v>
      </c>
      <c r="H56" s="87"/>
      <c r="I56" s="87"/>
      <c r="J56" s="87"/>
      <c r="K56" s="87"/>
      <c r="L56" s="87"/>
      <c r="M56" s="87"/>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row>
    <row r="57" spans="1:46" x14ac:dyDescent="0.3">
      <c r="A57" s="80"/>
      <c r="B57" s="80"/>
      <c r="C57" s="80"/>
      <c r="D57" s="83"/>
      <c r="E57" s="87" t="s">
        <v>74</v>
      </c>
      <c r="F57" s="76">
        <f>List!F106</f>
        <v>4.3174303999999992</v>
      </c>
      <c r="G57" s="165" t="s">
        <v>306</v>
      </c>
      <c r="H57" s="87"/>
      <c r="I57" s="87"/>
      <c r="J57" s="87"/>
      <c r="K57" s="87"/>
      <c r="L57" s="87"/>
      <c r="M57" s="87"/>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row>
    <row r="58" spans="1:46" x14ac:dyDescent="0.3">
      <c r="A58" s="80"/>
      <c r="B58" s="80"/>
      <c r="C58" s="80"/>
      <c r="D58" s="83"/>
      <c r="E58" s="117"/>
      <c r="F58" s="104"/>
      <c r="G58" s="105"/>
      <c r="H58" s="106"/>
      <c r="I58" s="107"/>
      <c r="J58" s="103"/>
      <c r="K58" s="87"/>
      <c r="L58" s="87"/>
      <c r="M58" s="87"/>
      <c r="N58" s="87"/>
      <c r="O58" s="87"/>
      <c r="P58" s="87"/>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row>
    <row r="59" spans="1:46" x14ac:dyDescent="0.3">
      <c r="A59" s="80"/>
      <c r="B59" s="80"/>
      <c r="C59" s="80"/>
      <c r="D59" s="83"/>
      <c r="E59" s="87"/>
      <c r="F59" s="104"/>
      <c r="G59" s="105"/>
      <c r="H59" s="106"/>
      <c r="I59" s="107"/>
      <c r="J59" s="103"/>
      <c r="K59" s="87"/>
      <c r="L59" s="87"/>
      <c r="M59" s="87"/>
      <c r="N59" s="87"/>
      <c r="O59" s="87"/>
      <c r="P59" s="87"/>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row>
    <row r="60" spans="1:46" ht="57.6" x14ac:dyDescent="0.3">
      <c r="A60" s="80"/>
      <c r="B60" s="80"/>
      <c r="C60" s="80"/>
      <c r="D60" s="83"/>
      <c r="E60" s="140" t="s">
        <v>76</v>
      </c>
      <c r="F60" s="98" t="s">
        <v>77</v>
      </c>
      <c r="G60" s="98" t="s">
        <v>78</v>
      </c>
      <c r="H60" s="98" t="s">
        <v>307</v>
      </c>
      <c r="I60" s="98" t="s">
        <v>308</v>
      </c>
      <c r="J60" s="98" t="s">
        <v>62</v>
      </c>
      <c r="K60" s="87"/>
      <c r="L60" s="87"/>
      <c r="M60" s="87"/>
      <c r="N60" s="87"/>
      <c r="O60" s="87"/>
      <c r="P60" s="87"/>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row>
    <row r="61" spans="1:46" x14ac:dyDescent="0.3">
      <c r="A61" s="80"/>
      <c r="B61" s="80"/>
      <c r="C61" s="80"/>
      <c r="D61" s="83"/>
      <c r="E61" s="87" t="s">
        <v>81</v>
      </c>
      <c r="F61" s="126">
        <f>MAX(MIN(K47,F$44)-J47,0)</f>
        <v>0</v>
      </c>
      <c r="G61" s="126">
        <f>MAX(0,F$44-MAX(J47,K47))</f>
        <v>7</v>
      </c>
      <c r="H61" s="135">
        <f>r_c_oral*F61</f>
        <v>0</v>
      </c>
      <c r="I61" s="135">
        <f>r_c_oral*G61</f>
        <v>30.222012799999995</v>
      </c>
      <c r="J61" s="135">
        <f>SUM(H61:I61)</f>
        <v>30.222012799999995</v>
      </c>
      <c r="K61" s="87"/>
      <c r="L61" s="87"/>
      <c r="M61" s="87"/>
      <c r="N61" s="87"/>
      <c r="O61" s="87"/>
      <c r="P61" s="87"/>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row>
    <row r="62" spans="1:46" x14ac:dyDescent="0.3">
      <c r="A62" s="80"/>
      <c r="B62" s="80"/>
      <c r="C62" s="80"/>
      <c r="D62" s="83"/>
      <c r="E62" s="87" t="s">
        <v>82</v>
      </c>
      <c r="F62" s="126">
        <f>MAX(MIN(K48,F$44)-J48,0)</f>
        <v>7</v>
      </c>
      <c r="G62" s="126">
        <f>MAX(0,F$44-MAX(J48,K48))</f>
        <v>0</v>
      </c>
      <c r="H62" s="135" cm="1">
        <f t="array" ref="H62">r_c_oral*F62</f>
        <v>30.222012799999995</v>
      </c>
      <c r="I62" s="135" cm="1">
        <f t="array" ref="I62">r_c_oral*G62</f>
        <v>0</v>
      </c>
      <c r="J62" s="135">
        <f t="shared" ref="J62:J64" si="8">SUM(H62:I62)</f>
        <v>30.222012799999995</v>
      </c>
      <c r="K62" s="87"/>
      <c r="L62" s="87"/>
      <c r="M62" s="87"/>
      <c r="N62" s="87"/>
      <c r="O62" s="87"/>
      <c r="P62" s="87"/>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row>
    <row r="63" spans="1:46" x14ac:dyDescent="0.3">
      <c r="A63" s="80"/>
      <c r="B63" s="80"/>
      <c r="C63" s="80"/>
      <c r="D63" s="83"/>
      <c r="E63" s="87" t="s">
        <v>83</v>
      </c>
      <c r="F63" s="126">
        <f>MAX(MIN(K49,F$44)-J49,0)</f>
        <v>7</v>
      </c>
      <c r="G63" s="126">
        <f>MAX(0,F$44-MAX(J49,K49))</f>
        <v>0</v>
      </c>
      <c r="H63" s="135" cm="1">
        <f t="array" ref="H63">r_c_oral*F63</f>
        <v>30.222012799999995</v>
      </c>
      <c r="I63" s="135" cm="1">
        <f t="array" ref="I63">r_c_oral*G63</f>
        <v>0</v>
      </c>
      <c r="J63" s="135">
        <f t="shared" si="8"/>
        <v>30.222012799999995</v>
      </c>
      <c r="K63" s="87"/>
      <c r="L63" s="87"/>
      <c r="M63" s="87"/>
      <c r="N63" s="87"/>
      <c r="O63" s="87"/>
      <c r="P63" s="87"/>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row>
    <row r="64" spans="1:46" x14ac:dyDescent="0.3">
      <c r="A64" s="80"/>
      <c r="B64" s="80"/>
      <c r="C64" s="80"/>
      <c r="D64" s="83"/>
      <c r="E64" s="87" t="s">
        <v>84</v>
      </c>
      <c r="F64" s="126">
        <f>MAX(MIN(K50,F$44)-J50,0)</f>
        <v>7</v>
      </c>
      <c r="G64" s="126">
        <f>MAX(0,F$44-MAX(J50,K50))</f>
        <v>0</v>
      </c>
      <c r="H64" s="135" cm="1">
        <f t="array" ref="H64">r_c_oral*F64</f>
        <v>30.222012799999995</v>
      </c>
      <c r="I64" s="135" cm="1">
        <f t="array" ref="I64">r_c_oral*G64</f>
        <v>0</v>
      </c>
      <c r="J64" s="135">
        <f t="shared" si="8"/>
        <v>30.222012799999995</v>
      </c>
      <c r="K64" s="87"/>
      <c r="L64" s="87"/>
      <c r="M64" s="87"/>
      <c r="N64" s="87"/>
      <c r="O64" s="87"/>
      <c r="P64" s="87"/>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row>
    <row r="65" spans="1:46" x14ac:dyDescent="0.3">
      <c r="A65" s="80"/>
      <c r="B65" s="80"/>
      <c r="C65" s="80"/>
      <c r="D65" s="83"/>
      <c r="E65" s="87" t="s">
        <v>287</v>
      </c>
      <c r="F65" s="126">
        <f>MAX(MIN(K51,F$44)-J51,0)</f>
        <v>7</v>
      </c>
      <c r="G65" s="126">
        <f>MAX(0,F$44-MAX(J51,K51))</f>
        <v>0</v>
      </c>
      <c r="H65" s="135" cm="1">
        <f t="array" ref="H65">r_c_oral*F65</f>
        <v>30.222012799999995</v>
      </c>
      <c r="I65" s="135" cm="1">
        <f t="array" ref="I65">r_c_oral*G65</f>
        <v>0</v>
      </c>
      <c r="J65" s="135">
        <f t="shared" ref="J65" si="9">SUM(H65:I65)</f>
        <v>30.222012799999995</v>
      </c>
      <c r="K65" s="87"/>
      <c r="L65" s="87"/>
      <c r="M65" s="87"/>
      <c r="N65" s="87"/>
      <c r="O65" s="87"/>
      <c r="P65" s="87"/>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row>
    <row r="66" spans="1:46" x14ac:dyDescent="0.3">
      <c r="A66" s="80"/>
      <c r="B66" s="80"/>
      <c r="C66" s="80"/>
      <c r="D66" s="83"/>
      <c r="E66" s="87" t="s">
        <v>85</v>
      </c>
      <c r="F66" s="126">
        <f>MAX(MIN(K53,F$44)-J53,0)</f>
        <v>7</v>
      </c>
      <c r="G66" s="126">
        <f>MAX(0,F$44-MAX(J53,K53))</f>
        <v>0</v>
      </c>
      <c r="H66" s="135" cm="1">
        <f t="array" ref="H66">r_c_oral*F66</f>
        <v>30.222012799999995</v>
      </c>
      <c r="I66" s="135" cm="1">
        <f t="array" ref="I66">r_c_oral*G66</f>
        <v>0</v>
      </c>
      <c r="J66" s="135">
        <f>SUM(H66:I66)</f>
        <v>30.222012799999995</v>
      </c>
      <c r="K66" s="87"/>
      <c r="L66" s="87"/>
      <c r="M66" s="87"/>
      <c r="N66" s="87"/>
      <c r="O66" s="87"/>
      <c r="P66" s="87"/>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row>
    <row r="67" spans="1:46" x14ac:dyDescent="0.3">
      <c r="A67" s="80"/>
      <c r="B67" s="80"/>
      <c r="C67" s="80"/>
      <c r="D67" s="83"/>
      <c r="E67" s="87"/>
      <c r="F67" s="104"/>
      <c r="G67" s="105"/>
      <c r="H67" s="106"/>
      <c r="I67" s="107"/>
      <c r="J67" s="103"/>
      <c r="K67" s="87"/>
      <c r="L67" s="87"/>
      <c r="M67" s="87"/>
      <c r="N67" s="87"/>
      <c r="O67" s="87"/>
      <c r="P67" s="87"/>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row>
    <row r="68" spans="1:46" x14ac:dyDescent="0.3">
      <c r="A68" s="80"/>
      <c r="B68" s="80"/>
      <c r="C68" s="80"/>
      <c r="D68" s="83"/>
      <c r="E68" s="96" t="s">
        <v>86</v>
      </c>
      <c r="F68" s="104"/>
      <c r="G68" s="105"/>
      <c r="H68" s="106"/>
      <c r="I68" s="107"/>
      <c r="J68" s="103"/>
      <c r="K68" s="87"/>
      <c r="L68" s="87"/>
      <c r="M68" s="87"/>
      <c r="N68" s="87"/>
      <c r="O68" s="87"/>
      <c r="P68" s="87"/>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row>
    <row r="69" spans="1:46" x14ac:dyDescent="0.3">
      <c r="A69" s="80"/>
      <c r="B69" s="80"/>
      <c r="C69" s="80"/>
      <c r="D69" s="83"/>
      <c r="E69" s="96" t="s">
        <v>87</v>
      </c>
      <c r="F69" s="104"/>
      <c r="G69" s="105"/>
      <c r="H69" s="106"/>
      <c r="I69" s="107"/>
      <c r="J69" s="103"/>
      <c r="K69" s="87"/>
      <c r="L69" s="87"/>
      <c r="M69" s="87"/>
      <c r="N69" s="87"/>
      <c r="O69" s="87"/>
      <c r="P69" s="87"/>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row>
    <row r="70" spans="1:46" x14ac:dyDescent="0.3">
      <c r="A70" s="80"/>
      <c r="B70" s="80"/>
      <c r="C70" s="80"/>
      <c r="D70" s="83"/>
      <c r="E70" s="96" t="s">
        <v>88</v>
      </c>
      <c r="F70" s="87"/>
      <c r="G70" s="87"/>
      <c r="H70" s="87"/>
      <c r="I70" s="87"/>
      <c r="J70" s="87"/>
      <c r="K70" s="87"/>
      <c r="L70" s="87"/>
      <c r="M70" s="87"/>
      <c r="N70" s="87"/>
      <c r="O70" s="87"/>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row>
    <row r="71" spans="1:46" x14ac:dyDescent="0.3">
      <c r="A71" s="80"/>
      <c r="B71" s="80"/>
      <c r="C71" s="80"/>
      <c r="D71" s="83"/>
      <c r="E71" s="96" t="s">
        <v>89</v>
      </c>
      <c r="F71" s="87"/>
      <c r="G71" s="87"/>
      <c r="H71" s="87"/>
      <c r="I71" s="87"/>
      <c r="J71" s="87"/>
      <c r="K71" s="87"/>
      <c r="L71" s="87"/>
      <c r="M71" s="87"/>
      <c r="N71" s="87"/>
      <c r="O71" s="87"/>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row>
    <row r="72" spans="1:46" x14ac:dyDescent="0.3">
      <c r="A72" s="80"/>
      <c r="B72" s="80"/>
      <c r="C72" s="80"/>
      <c r="D72" s="83"/>
      <c r="E72" s="100"/>
      <c r="F72" s="87"/>
      <c r="G72" s="87"/>
      <c r="H72" s="87"/>
      <c r="I72" s="87"/>
      <c r="J72" s="87"/>
      <c r="K72" s="87"/>
      <c r="L72" s="87"/>
      <c r="M72" s="87"/>
      <c r="N72" s="87"/>
      <c r="O72" s="87"/>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row>
    <row r="73" spans="1:46" x14ac:dyDescent="0.3">
      <c r="A73" s="80"/>
      <c r="B73" s="80"/>
      <c r="C73" s="80"/>
      <c r="D73" s="83"/>
      <c r="E73" s="100"/>
      <c r="F73" s="87"/>
      <c r="G73" s="87"/>
      <c r="H73" s="87"/>
      <c r="I73" s="87"/>
      <c r="J73" s="87"/>
      <c r="K73" s="87"/>
      <c r="L73" s="87"/>
      <c r="M73" s="87"/>
      <c r="N73" s="87"/>
      <c r="O73" s="87"/>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row>
    <row r="74" spans="1:46" x14ac:dyDescent="0.3">
      <c r="A74" s="80"/>
      <c r="B74" s="80"/>
      <c r="C74" s="80"/>
      <c r="D74" s="83"/>
      <c r="E74" s="87"/>
      <c r="F74" s="87"/>
      <c r="G74" s="87"/>
      <c r="H74" s="87"/>
      <c r="I74" s="87"/>
      <c r="J74" s="87"/>
      <c r="K74" s="87"/>
      <c r="L74" s="87"/>
      <c r="M74" s="87"/>
      <c r="N74" s="87"/>
      <c r="O74" s="87"/>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row>
    <row r="75" spans="1:46" ht="18.600000000000001" thickBot="1" x14ac:dyDescent="0.4">
      <c r="A75" s="80"/>
      <c r="B75" s="80"/>
      <c r="C75" s="80"/>
      <c r="D75" s="83"/>
      <c r="E75" s="85" t="s">
        <v>90</v>
      </c>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row>
    <row r="76" spans="1:46" x14ac:dyDescent="0.3">
      <c r="A76" s="80"/>
      <c r="B76" s="80"/>
      <c r="C76" s="80"/>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row>
    <row r="77" spans="1:46" x14ac:dyDescent="0.3">
      <c r="A77" s="80"/>
      <c r="B77" s="80"/>
      <c r="C77" s="80"/>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row>
    <row r="78" spans="1:46" ht="28.8" x14ac:dyDescent="0.3">
      <c r="A78" s="80"/>
      <c r="B78" s="80"/>
      <c r="C78" s="80"/>
      <c r="D78" s="83"/>
      <c r="E78" s="97" t="s">
        <v>91</v>
      </c>
      <c r="F78" s="108"/>
      <c r="G78" s="109" t="s">
        <v>92</v>
      </c>
      <c r="H78" s="110" t="s">
        <v>93</v>
      </c>
      <c r="I78" s="102" t="s">
        <v>73</v>
      </c>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row>
    <row r="79" spans="1:46" x14ac:dyDescent="0.3">
      <c r="A79" s="80"/>
      <c r="B79" s="80"/>
      <c r="C79" s="80"/>
      <c r="D79" s="83"/>
      <c r="E79" s="111" t="s">
        <v>94</v>
      </c>
      <c r="F79" s="83"/>
      <c r="G79" s="77">
        <v>0.9</v>
      </c>
      <c r="H79" s="78">
        <f>268*1.06601429/List!B72*List!B83</f>
        <v>371.22224464060224</v>
      </c>
      <c r="I79" s="112" t="s">
        <v>309</v>
      </c>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row>
    <row r="80" spans="1:46" x14ac:dyDescent="0.3">
      <c r="A80" s="80"/>
      <c r="B80" s="80"/>
      <c r="C80" s="80"/>
      <c r="D80" s="83"/>
      <c r="E80" s="111" t="s">
        <v>95</v>
      </c>
      <c r="F80" s="83"/>
      <c r="G80" s="77">
        <v>0.1</v>
      </c>
      <c r="H80" s="78">
        <v>33.25</v>
      </c>
      <c r="I80" s="112" t="s">
        <v>310</v>
      </c>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row>
    <row r="81" spans="1:45" x14ac:dyDescent="0.3">
      <c r="A81" s="80"/>
      <c r="B81" s="80"/>
      <c r="C81" s="80"/>
      <c r="D81" s="83"/>
      <c r="E81" s="111" t="s">
        <v>96</v>
      </c>
      <c r="F81" s="83"/>
      <c r="G81" s="132">
        <f>1-G79-G80</f>
        <v>0</v>
      </c>
      <c r="H81" s="78">
        <v>0</v>
      </c>
      <c r="I81" s="112"/>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row>
    <row r="82" spans="1:45" ht="15.6" x14ac:dyDescent="0.3">
      <c r="A82" s="80"/>
      <c r="B82" s="80"/>
      <c r="C82" s="80"/>
      <c r="D82" s="83"/>
      <c r="E82" s="111" t="s">
        <v>97</v>
      </c>
      <c r="F82" s="83"/>
      <c r="G82" s="136">
        <f>SUM(G79:G81)</f>
        <v>1</v>
      </c>
      <c r="H82" s="143">
        <f>SUMPRODUCT(G79:G81,H79:H81)</f>
        <v>337.42502017654203</v>
      </c>
      <c r="I82" s="113" t="s">
        <v>98</v>
      </c>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row>
    <row r="83" spans="1:45" x14ac:dyDescent="0.3">
      <c r="A83" s="80"/>
      <c r="B83" s="80"/>
      <c r="C83" s="80"/>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row>
    <row r="84" spans="1:45" x14ac:dyDescent="0.3">
      <c r="A84" s="80"/>
      <c r="B84" s="80"/>
      <c r="C84" s="80"/>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row>
    <row r="85" spans="1:45" x14ac:dyDescent="0.3">
      <c r="A85" s="80"/>
      <c r="B85" s="80"/>
      <c r="C85" s="80"/>
      <c r="D85" s="83"/>
      <c r="E85" s="97" t="s">
        <v>99</v>
      </c>
      <c r="F85" s="137"/>
      <c r="G85" s="77">
        <v>1</v>
      </c>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row>
    <row r="86" spans="1:45" x14ac:dyDescent="0.3">
      <c r="A86" s="80"/>
      <c r="B86" s="80"/>
      <c r="C86" s="80"/>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row>
    <row r="87" spans="1:45" x14ac:dyDescent="0.3">
      <c r="A87" s="80"/>
      <c r="B87" s="80"/>
      <c r="C87" s="80"/>
      <c r="D87" s="83"/>
      <c r="E87" s="97" t="s">
        <v>100</v>
      </c>
      <c r="F87" s="83"/>
      <c r="G87" s="133">
        <f>G85*H82</f>
        <v>337.42502017654203</v>
      </c>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row>
    <row r="88" spans="1:45" x14ac:dyDescent="0.3">
      <c r="A88" s="80"/>
      <c r="B88" s="80"/>
      <c r="C88" s="80"/>
      <c r="D88" s="83"/>
      <c r="E88" s="97" t="s">
        <v>101</v>
      </c>
      <c r="F88" s="83"/>
      <c r="G88" s="133">
        <f>(1-G85)*H82</f>
        <v>0</v>
      </c>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row>
    <row r="89" spans="1:45" x14ac:dyDescent="0.3">
      <c r="A89" s="80"/>
      <c r="B89" s="80"/>
      <c r="C89" s="80"/>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row>
    <row r="90" spans="1:45" x14ac:dyDescent="0.3">
      <c r="A90" s="80"/>
      <c r="B90" s="80"/>
      <c r="C90" s="80"/>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row>
    <row r="91" spans="1:45" x14ac:dyDescent="0.3">
      <c r="A91" s="80"/>
      <c r="B91" s="80"/>
      <c r="C91" s="80"/>
      <c r="D91" s="83"/>
      <c r="E91" s="97" t="s">
        <v>102</v>
      </c>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row>
    <row r="92" spans="1:45" x14ac:dyDescent="0.3">
      <c r="A92" s="80"/>
      <c r="B92" s="80"/>
      <c r="C92" s="80"/>
      <c r="D92" s="83"/>
      <c r="E92" s="111" t="str">
        <f t="shared" ref="E92:E98" si="10">E21</f>
        <v>Xydalba IV</v>
      </c>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row>
    <row r="93" spans="1:45" x14ac:dyDescent="0.3">
      <c r="A93" s="80"/>
      <c r="B93" s="80"/>
      <c r="C93" s="80"/>
      <c r="D93" s="83"/>
      <c r="E93" s="111" t="str">
        <f t="shared" si="10"/>
        <v>Vancomycin IV</v>
      </c>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row>
    <row r="94" spans="1:45" x14ac:dyDescent="0.3">
      <c r="A94" s="80"/>
      <c r="B94" s="80"/>
      <c r="C94" s="80"/>
      <c r="D94" s="83"/>
      <c r="E94" s="111" t="str">
        <f t="shared" si="10"/>
        <v>Linezolid IV</v>
      </c>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row>
    <row r="95" spans="1:45" x14ac:dyDescent="0.3">
      <c r="A95" s="80"/>
      <c r="B95" s="80"/>
      <c r="C95" s="80"/>
      <c r="D95" s="83"/>
      <c r="E95" s="111" t="str">
        <f t="shared" si="10"/>
        <v>Daptomycin</v>
      </c>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row>
    <row r="96" spans="1:45" x14ac:dyDescent="0.3">
      <c r="A96" s="80"/>
      <c r="B96" s="80"/>
      <c r="C96" s="80"/>
      <c r="D96" s="83"/>
      <c r="E96" s="111" t="str">
        <f t="shared" si="10"/>
        <v>Cefazolin IV</v>
      </c>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row>
    <row r="97" spans="1:45" x14ac:dyDescent="0.3">
      <c r="A97" s="80"/>
      <c r="B97" s="80"/>
      <c r="C97" s="80"/>
      <c r="D97" s="83"/>
      <c r="E97" s="111" t="str">
        <f t="shared" si="10"/>
        <v>Ceftriaxone IV</v>
      </c>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row>
    <row r="98" spans="1:45" x14ac:dyDescent="0.3">
      <c r="A98" s="80"/>
      <c r="B98" s="80"/>
      <c r="C98" s="80"/>
      <c r="D98" s="83"/>
      <c r="E98" s="111" t="str">
        <f t="shared" si="10"/>
        <v>Other</v>
      </c>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row>
    <row r="99" spans="1:45" x14ac:dyDescent="0.3">
      <c r="A99" s="80"/>
      <c r="B99" s="80"/>
      <c r="C99" s="80"/>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row>
    <row r="100" spans="1:45" x14ac:dyDescent="0.3">
      <c r="A100" s="80"/>
      <c r="B100" s="80"/>
      <c r="C100" s="80"/>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row>
    <row r="101" spans="1:45" ht="18.600000000000001" thickBot="1" x14ac:dyDescent="0.4">
      <c r="A101" s="80"/>
      <c r="B101" s="80"/>
      <c r="C101" s="80"/>
      <c r="D101" s="83"/>
      <c r="E101" s="85" t="s">
        <v>103</v>
      </c>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row>
    <row r="102" spans="1:45" x14ac:dyDescent="0.3">
      <c r="A102" s="80"/>
      <c r="B102" s="80"/>
      <c r="C102" s="80"/>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row>
    <row r="103" spans="1:45" x14ac:dyDescent="0.3">
      <c r="A103" s="80"/>
      <c r="B103" s="80"/>
      <c r="C103" s="80"/>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row>
    <row r="104" spans="1:45" x14ac:dyDescent="0.3">
      <c r="A104" s="80"/>
      <c r="B104" s="80"/>
      <c r="C104" s="80"/>
      <c r="D104" s="83"/>
      <c r="E104" s="108" t="s">
        <v>104</v>
      </c>
      <c r="F104" s="83"/>
      <c r="G104" s="114" t="s">
        <v>105</v>
      </c>
      <c r="H104" s="115" t="s">
        <v>73</v>
      </c>
      <c r="I104" s="87"/>
      <c r="J104" s="87"/>
      <c r="K104" s="87"/>
      <c r="L104" s="87"/>
      <c r="M104" s="87"/>
      <c r="N104" s="87"/>
      <c r="O104" s="87"/>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row>
    <row r="105" spans="1:45" x14ac:dyDescent="0.3">
      <c r="A105" s="80"/>
      <c r="B105" s="80"/>
      <c r="C105" s="80"/>
      <c r="D105" s="83"/>
      <c r="E105" s="116" t="s">
        <v>106</v>
      </c>
      <c r="F105" s="83"/>
      <c r="G105" s="79">
        <f>2391.66*List!B83/List!B76</f>
        <v>2598.9371999999994</v>
      </c>
      <c r="H105" s="112" t="s">
        <v>311</v>
      </c>
      <c r="I105" s="87"/>
      <c r="J105" s="87"/>
      <c r="K105" s="87"/>
      <c r="L105" s="87"/>
      <c r="M105" s="87"/>
      <c r="N105" s="87"/>
      <c r="O105" s="87"/>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row>
    <row r="106" spans="1:45" x14ac:dyDescent="0.3">
      <c r="A106" s="80"/>
      <c r="B106" s="80"/>
      <c r="C106" s="80"/>
      <c r="D106" s="83"/>
      <c r="E106" s="87"/>
      <c r="F106" s="87"/>
      <c r="G106" s="87"/>
      <c r="H106" s="87"/>
      <c r="I106" s="87"/>
      <c r="J106" s="87"/>
      <c r="K106" s="87"/>
      <c r="L106" s="87"/>
      <c r="M106" s="87"/>
      <c r="N106" s="87"/>
      <c r="O106" s="87"/>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row>
    <row r="107" spans="1:45" x14ac:dyDescent="0.3">
      <c r="A107" s="80"/>
      <c r="B107" s="80"/>
      <c r="C107" s="80"/>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row>
    <row r="108" spans="1:45" ht="28.8" x14ac:dyDescent="0.3">
      <c r="A108" s="80"/>
      <c r="B108" s="80"/>
      <c r="C108" s="80"/>
      <c r="D108" s="83"/>
      <c r="E108" s="92" t="s">
        <v>38</v>
      </c>
      <c r="F108" s="93" t="s">
        <v>108</v>
      </c>
      <c r="G108" s="93" t="s">
        <v>109</v>
      </c>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row>
    <row r="109" spans="1:45" x14ac:dyDescent="0.3">
      <c r="A109" s="80"/>
      <c r="B109" s="80"/>
      <c r="C109" s="80"/>
      <c r="D109" s="83"/>
      <c r="E109" s="87" t="str">
        <f t="shared" ref="E109:E115" si="11">E21</f>
        <v>Xydalba IV</v>
      </c>
      <c r="F109" s="126">
        <f t="shared" ref="F109:F115" si="12">H21</f>
        <v>0</v>
      </c>
      <c r="G109" s="134">
        <f t="shared" ref="G109:G115" si="13">F109*G$105</f>
        <v>0</v>
      </c>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row>
    <row r="110" spans="1:45" x14ac:dyDescent="0.3">
      <c r="A110" s="80"/>
      <c r="B110" s="80"/>
      <c r="C110" s="80"/>
      <c r="D110" s="83"/>
      <c r="E110" s="87" t="str">
        <f t="shared" si="11"/>
        <v>Vancomycin IV</v>
      </c>
      <c r="F110" s="126">
        <f t="shared" si="12"/>
        <v>14</v>
      </c>
      <c r="G110" s="134">
        <f t="shared" si="13"/>
        <v>36385.12079999999</v>
      </c>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row>
    <row r="111" spans="1:45" x14ac:dyDescent="0.3">
      <c r="A111" s="80"/>
      <c r="B111" s="80"/>
      <c r="C111" s="80"/>
      <c r="D111" s="83"/>
      <c r="E111" s="87" t="str">
        <f t="shared" si="11"/>
        <v>Linezolid IV</v>
      </c>
      <c r="F111" s="126">
        <f t="shared" si="12"/>
        <v>14</v>
      </c>
      <c r="G111" s="134">
        <f t="shared" si="13"/>
        <v>36385.12079999999</v>
      </c>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row>
    <row r="112" spans="1:45" x14ac:dyDescent="0.3">
      <c r="A112" s="80"/>
      <c r="B112" s="80"/>
      <c r="C112" s="80"/>
      <c r="D112" s="83"/>
      <c r="E112" s="87" t="str">
        <f t="shared" si="11"/>
        <v>Daptomycin</v>
      </c>
      <c r="F112" s="126">
        <f t="shared" si="12"/>
        <v>14</v>
      </c>
      <c r="G112" s="134">
        <f t="shared" si="13"/>
        <v>36385.12079999999</v>
      </c>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row>
    <row r="113" spans="1:45" x14ac:dyDescent="0.3">
      <c r="A113" s="80"/>
      <c r="B113" s="80"/>
      <c r="C113" s="80"/>
      <c r="D113" s="83"/>
      <c r="E113" s="87" t="str">
        <f t="shared" si="11"/>
        <v>Cefazolin IV</v>
      </c>
      <c r="F113" s="126">
        <f t="shared" si="12"/>
        <v>14</v>
      </c>
      <c r="G113" s="134">
        <f t="shared" si="13"/>
        <v>36385.12079999999</v>
      </c>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row>
    <row r="114" spans="1:45" x14ac:dyDescent="0.3">
      <c r="A114" s="80"/>
      <c r="B114" s="80"/>
      <c r="C114" s="80"/>
      <c r="D114" s="83"/>
      <c r="E114" s="87" t="str">
        <f t="shared" si="11"/>
        <v>Ceftriaxone IV</v>
      </c>
      <c r="F114" s="126">
        <f t="shared" si="12"/>
        <v>14</v>
      </c>
      <c r="G114" s="134">
        <f t="shared" si="13"/>
        <v>36385.12079999999</v>
      </c>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row>
    <row r="115" spans="1:45" x14ac:dyDescent="0.3">
      <c r="A115" s="80"/>
      <c r="B115" s="80"/>
      <c r="C115" s="80"/>
      <c r="D115" s="83"/>
      <c r="E115" s="87" t="str">
        <f t="shared" si="11"/>
        <v>Other</v>
      </c>
      <c r="F115" s="126">
        <f t="shared" si="12"/>
        <v>14</v>
      </c>
      <c r="G115" s="134">
        <f t="shared" si="13"/>
        <v>36385.12079999999</v>
      </c>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row>
    <row r="116" spans="1:45" x14ac:dyDescent="0.3">
      <c r="A116" s="80"/>
      <c r="B116" s="80"/>
      <c r="C116" s="80"/>
      <c r="D116" s="83"/>
      <c r="E116" s="117" t="str">
        <f>"Source or assumption for length of stay: "&amp;F16</f>
        <v>Source or assumption for length of stay: Xydalba: no hospitalisation; Comparators: hospital length of stay is set equal to the length of antibiotic treatment</v>
      </c>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row>
    <row r="117" spans="1:45" x14ac:dyDescent="0.3">
      <c r="A117" s="80"/>
      <c r="B117" s="80"/>
      <c r="C117" s="80"/>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row>
    <row r="118" spans="1:45" x14ac:dyDescent="0.3">
      <c r="A118" s="80"/>
      <c r="B118" s="80"/>
      <c r="C118" s="80"/>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row>
    <row r="119" spans="1:45" x14ac:dyDescent="0.3">
      <c r="A119" s="80"/>
      <c r="B119" s="80"/>
      <c r="C119" s="80"/>
      <c r="D119" s="83"/>
      <c r="E119" s="83"/>
      <c r="F119" s="83"/>
      <c r="G119" s="83"/>
      <c r="H119" s="83"/>
      <c r="I119" s="83"/>
      <c r="J119" s="83"/>
      <c r="K119" s="83"/>
      <c r="L119" s="83"/>
      <c r="M119" s="83"/>
      <c r="N119" s="83"/>
      <c r="O119" s="83"/>
      <c r="P119" s="83"/>
      <c r="Q119" s="83"/>
      <c r="R119" s="83"/>
      <c r="S119" s="83"/>
      <c r="T119" s="83"/>
      <c r="U119" s="83"/>
      <c r="V119" s="83"/>
      <c r="W119" s="83"/>
      <c r="X119" s="83"/>
      <c r="Y119" s="83"/>
      <c r="Z119" s="83"/>
      <c r="AA119" s="83"/>
      <c r="AB119" s="83"/>
      <c r="AC119" s="83"/>
      <c r="AD119" s="83"/>
      <c r="AE119" s="83"/>
      <c r="AF119" s="83"/>
      <c r="AG119" s="83"/>
      <c r="AH119" s="83"/>
      <c r="AI119" s="83"/>
      <c r="AJ119" s="83"/>
      <c r="AK119" s="83"/>
      <c r="AL119" s="83"/>
      <c r="AM119" s="83"/>
      <c r="AN119" s="83"/>
      <c r="AO119" s="83"/>
      <c r="AP119" s="83"/>
      <c r="AQ119" s="83"/>
      <c r="AR119" s="83"/>
      <c r="AS119" s="83"/>
    </row>
    <row r="120" spans="1:45" ht="18.600000000000001" thickBot="1" x14ac:dyDescent="0.4">
      <c r="A120" s="80"/>
      <c r="B120" s="80"/>
      <c r="C120" s="80"/>
      <c r="D120" s="83"/>
      <c r="E120" s="85" t="s">
        <v>110</v>
      </c>
      <c r="F120" s="86"/>
      <c r="G120" s="86"/>
      <c r="H120" s="86"/>
      <c r="I120" s="86"/>
      <c r="J120" s="86"/>
      <c r="K120" s="86"/>
      <c r="L120" s="86"/>
      <c r="M120" s="86"/>
      <c r="N120" s="86"/>
      <c r="O120" s="86"/>
      <c r="P120" s="86"/>
      <c r="Q120" s="86"/>
      <c r="R120" s="86"/>
      <c r="S120" s="86"/>
      <c r="T120" s="86"/>
      <c r="U120" s="86"/>
      <c r="V120" s="86"/>
      <c r="W120" s="86"/>
      <c r="X120" s="86"/>
      <c r="Y120" s="86"/>
      <c r="Z120" s="86"/>
      <c r="AA120" s="86"/>
      <c r="AB120" s="86"/>
      <c r="AC120" s="86"/>
      <c r="AD120" s="86"/>
      <c r="AE120" s="86"/>
      <c r="AF120" s="86"/>
      <c r="AG120" s="86"/>
      <c r="AH120" s="86"/>
      <c r="AI120" s="86"/>
      <c r="AJ120" s="86"/>
      <c r="AK120" s="86"/>
      <c r="AL120" s="86"/>
      <c r="AM120" s="86"/>
      <c r="AN120" s="86"/>
      <c r="AO120" s="86"/>
      <c r="AP120" s="86"/>
      <c r="AQ120" s="86"/>
      <c r="AR120" s="86"/>
      <c r="AS120" s="86"/>
    </row>
    <row r="121" spans="1:45" x14ac:dyDescent="0.3">
      <c r="A121" s="80"/>
      <c r="B121" s="80"/>
      <c r="C121" s="80"/>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row>
    <row r="122" spans="1:45" x14ac:dyDescent="0.3">
      <c r="A122" s="80"/>
      <c r="B122" s="80"/>
      <c r="C122" s="80"/>
      <c r="D122" s="83"/>
      <c r="E122" s="83"/>
      <c r="F122" s="83"/>
      <c r="G122" s="83"/>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row>
    <row r="123" spans="1:45" x14ac:dyDescent="0.3">
      <c r="A123" s="80"/>
      <c r="B123" s="80"/>
      <c r="C123" s="80"/>
      <c r="D123" s="83"/>
      <c r="E123" s="83" t="s">
        <v>111</v>
      </c>
      <c r="F123" s="78">
        <f>49.02*List!B83/List!B73</f>
        <v>62.696024411508276</v>
      </c>
      <c r="G123" s="83" t="s">
        <v>312</v>
      </c>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row>
    <row r="124" spans="1:45" x14ac:dyDescent="0.3">
      <c r="A124" s="80"/>
      <c r="B124" s="80"/>
      <c r="C124" s="80"/>
      <c r="D124" s="83"/>
      <c r="E124" s="83" t="s">
        <v>113</v>
      </c>
      <c r="F124" s="78">
        <f>22.14*List!B83/List!B73</f>
        <v>28.316809067131643</v>
      </c>
      <c r="G124" s="83" t="str">
        <f>G123</f>
        <v>Source: Pettigrew et al. 2012, adjusted to December 2023</v>
      </c>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row>
    <row r="125" spans="1:45" x14ac:dyDescent="0.3">
      <c r="A125" s="80"/>
      <c r="B125" s="80"/>
      <c r="C125" s="80"/>
      <c r="D125" s="83"/>
      <c r="E125" s="83" t="s">
        <v>114</v>
      </c>
      <c r="F125" s="78">
        <f>36.59*List!B83/List!B74</f>
        <v>42.50002375296912</v>
      </c>
      <c r="G125" s="118" t="s">
        <v>313</v>
      </c>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row>
    <row r="126" spans="1:45" x14ac:dyDescent="0.3">
      <c r="A126" s="80"/>
      <c r="B126" s="80"/>
      <c r="C126" s="80"/>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row>
    <row r="127" spans="1:45" x14ac:dyDescent="0.3">
      <c r="A127" s="80"/>
      <c r="B127" s="80"/>
      <c r="C127" s="80"/>
      <c r="D127" s="83"/>
      <c r="E127" s="83"/>
      <c r="F127" s="83"/>
      <c r="G127" s="83"/>
      <c r="H127" s="83"/>
      <c r="I127" s="83"/>
      <c r="J127" s="83"/>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row>
    <row r="128" spans="1:45" ht="14.4" customHeight="1" x14ac:dyDescent="0.3">
      <c r="A128" s="80"/>
      <c r="B128" s="80"/>
      <c r="C128" s="80"/>
      <c r="D128" s="83"/>
      <c r="E128" s="83"/>
      <c r="F128" s="192" t="s">
        <v>116</v>
      </c>
      <c r="G128" s="192"/>
      <c r="H128" s="192"/>
      <c r="I128" s="192"/>
      <c r="J128" s="119"/>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c r="AS128" s="83"/>
    </row>
    <row r="129" spans="1:47" ht="31.35" customHeight="1" x14ac:dyDescent="0.3">
      <c r="A129" s="80"/>
      <c r="B129" s="80"/>
      <c r="C129" s="80"/>
      <c r="D129" s="83"/>
      <c r="E129" s="83"/>
      <c r="F129" s="191" t="s">
        <v>117</v>
      </c>
      <c r="G129" s="191"/>
      <c r="H129" s="120" t="s">
        <v>118</v>
      </c>
      <c r="I129" s="121" t="s">
        <v>119</v>
      </c>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row>
    <row r="130" spans="1:47" ht="28.8" x14ac:dyDescent="0.3">
      <c r="A130" s="80"/>
      <c r="B130" s="80"/>
      <c r="C130" s="80"/>
      <c r="D130" s="83"/>
      <c r="E130" s="108" t="s">
        <v>38</v>
      </c>
      <c r="F130" s="122" t="s">
        <v>120</v>
      </c>
      <c r="G130" s="98" t="s">
        <v>121</v>
      </c>
      <c r="H130" s="122" t="s">
        <v>122</v>
      </c>
      <c r="I130" s="98" t="s">
        <v>123</v>
      </c>
      <c r="J130" s="83"/>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row>
    <row r="131" spans="1:47" x14ac:dyDescent="0.3">
      <c r="A131" s="80"/>
      <c r="B131" s="80"/>
      <c r="C131" s="80"/>
      <c r="D131" s="83"/>
      <c r="E131" s="83" t="str">
        <f t="shared" ref="E131:E136" si="14">E21</f>
        <v>Xydalba IV</v>
      </c>
      <c r="F131" s="73">
        <v>5</v>
      </c>
      <c r="G131" s="73" t="s">
        <v>124</v>
      </c>
      <c r="H131" s="73">
        <v>10</v>
      </c>
      <c r="I131" s="73">
        <v>5</v>
      </c>
      <c r="J131" s="84" t="s">
        <v>125</v>
      </c>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row>
    <row r="132" spans="1:47" x14ac:dyDescent="0.3">
      <c r="A132" s="80"/>
      <c r="B132" s="80"/>
      <c r="C132" s="80"/>
      <c r="D132" s="83"/>
      <c r="E132" s="83" t="str">
        <f t="shared" si="14"/>
        <v>Vancomycin IV</v>
      </c>
      <c r="F132" s="73">
        <v>20</v>
      </c>
      <c r="G132" s="73">
        <f>10/3</f>
        <v>3.3333333333333335</v>
      </c>
      <c r="H132" s="73">
        <f>10*G47</f>
        <v>20</v>
      </c>
      <c r="I132" s="73">
        <f>5*G47</f>
        <v>10</v>
      </c>
      <c r="J132" s="84" t="s">
        <v>126</v>
      </c>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row>
    <row r="133" spans="1:47" x14ac:dyDescent="0.3">
      <c r="A133" s="80"/>
      <c r="B133" s="80"/>
      <c r="C133" s="80"/>
      <c r="D133" s="83"/>
      <c r="E133" s="83" t="str">
        <f t="shared" si="14"/>
        <v>Linezolid IV</v>
      </c>
      <c r="F133" s="73">
        <v>10</v>
      </c>
      <c r="G133" s="73">
        <f>10/7</f>
        <v>1.4285714285714286</v>
      </c>
      <c r="H133" s="73">
        <f>3*G48</f>
        <v>6</v>
      </c>
      <c r="I133" s="73">
        <f>5*G48</f>
        <v>10</v>
      </c>
      <c r="J133" s="84" t="s">
        <v>127</v>
      </c>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row>
    <row r="134" spans="1:47" x14ac:dyDescent="0.3">
      <c r="A134" s="80"/>
      <c r="B134" s="80"/>
      <c r="C134" s="80"/>
      <c r="D134" s="83"/>
      <c r="E134" s="83" t="str">
        <f t="shared" si="14"/>
        <v>Daptomycin</v>
      </c>
      <c r="F134" s="73">
        <v>10</v>
      </c>
      <c r="G134" s="73">
        <f>10/7</f>
        <v>1.4285714285714286</v>
      </c>
      <c r="H134" s="73">
        <f>10*1</f>
        <v>10</v>
      </c>
      <c r="I134" s="73">
        <v>5</v>
      </c>
      <c r="J134" s="84" t="s">
        <v>128</v>
      </c>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row>
    <row r="135" spans="1:47" x14ac:dyDescent="0.3">
      <c r="A135" s="80"/>
      <c r="B135" s="80"/>
      <c r="C135" s="80"/>
      <c r="D135" s="83"/>
      <c r="E135" s="83" t="str">
        <f t="shared" si="14"/>
        <v>Cefazolin IV</v>
      </c>
      <c r="F135" s="73">
        <v>5</v>
      </c>
      <c r="G135" s="73">
        <f>5/7</f>
        <v>0.7142857142857143</v>
      </c>
      <c r="H135" s="73">
        <f>5*G49</f>
        <v>15</v>
      </c>
      <c r="I135" s="73">
        <f>5*G49</f>
        <v>15</v>
      </c>
      <c r="J135" s="84" t="s">
        <v>129</v>
      </c>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row>
    <row r="136" spans="1:47" x14ac:dyDescent="0.3">
      <c r="A136" s="80"/>
      <c r="B136" s="80"/>
      <c r="C136" s="80"/>
      <c r="D136" s="83"/>
      <c r="E136" s="83" t="str">
        <f t="shared" si="14"/>
        <v>Ceftriaxone IV</v>
      </c>
      <c r="F136" s="73">
        <v>5</v>
      </c>
      <c r="G136" s="73">
        <f>5/7</f>
        <v>0.7142857142857143</v>
      </c>
      <c r="H136" s="73">
        <f>5*G50</f>
        <v>5</v>
      </c>
      <c r="I136" s="73">
        <f>5*G50</f>
        <v>5</v>
      </c>
      <c r="J136" s="84" t="s">
        <v>129</v>
      </c>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row>
    <row r="137" spans="1:47" x14ac:dyDescent="0.3">
      <c r="A137" s="80"/>
      <c r="B137" s="80"/>
      <c r="C137" s="80"/>
      <c r="D137" s="83"/>
      <c r="E137" s="83" t="s">
        <v>285</v>
      </c>
      <c r="F137" s="73">
        <v>0</v>
      </c>
      <c r="G137" s="73">
        <v>0</v>
      </c>
      <c r="H137" s="73">
        <v>0</v>
      </c>
      <c r="I137" s="73">
        <v>0</v>
      </c>
      <c r="J137" s="125" t="s">
        <v>286</v>
      </c>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c r="AT137" s="83"/>
      <c r="AU137" s="83"/>
    </row>
    <row r="138" spans="1:47" x14ac:dyDescent="0.3">
      <c r="A138" s="80"/>
      <c r="B138" s="80"/>
      <c r="C138" s="80"/>
      <c r="D138" s="83"/>
      <c r="E138" s="83"/>
      <c r="F138" s="157"/>
      <c r="G138" s="157"/>
      <c r="H138" s="157"/>
      <c r="I138" s="157"/>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row>
    <row r="139" spans="1:47" x14ac:dyDescent="0.3">
      <c r="A139" s="80"/>
      <c r="B139" s="80"/>
      <c r="C139" s="80"/>
      <c r="D139" s="83"/>
      <c r="E139" s="83"/>
      <c r="F139" s="157"/>
      <c r="G139" s="157"/>
      <c r="H139" s="157"/>
      <c r="I139" s="157"/>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row>
    <row r="140" spans="1:47" x14ac:dyDescent="0.3">
      <c r="A140" s="80"/>
      <c r="B140" s="80"/>
      <c r="C140" s="80"/>
      <c r="D140" s="83"/>
      <c r="E140" s="83"/>
      <c r="F140" s="192" t="s">
        <v>130</v>
      </c>
      <c r="G140" s="192"/>
      <c r="H140" s="192"/>
      <c r="I140" s="192"/>
      <c r="J140" s="83"/>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row>
    <row r="141" spans="1:47" ht="43.2" x14ac:dyDescent="0.3">
      <c r="A141" s="80"/>
      <c r="B141" s="80"/>
      <c r="C141" s="80"/>
      <c r="D141" s="83"/>
      <c r="E141" s="108" t="s">
        <v>38</v>
      </c>
      <c r="F141" s="98" t="s">
        <v>131</v>
      </c>
      <c r="G141" s="98" t="s">
        <v>132</v>
      </c>
      <c r="H141" s="98" t="s">
        <v>133</v>
      </c>
      <c r="I141" s="98" t="s">
        <v>134</v>
      </c>
      <c r="J141" s="98"/>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row>
    <row r="142" spans="1:47" x14ac:dyDescent="0.3">
      <c r="A142" s="80"/>
      <c r="B142" s="80"/>
      <c r="C142" s="80"/>
      <c r="D142" s="83"/>
      <c r="E142" s="83" t="str">
        <f t="shared" ref="E142:E148" si="15">E131</f>
        <v>Xydalba IV</v>
      </c>
      <c r="F142" s="127">
        <f>IF(H21&gt;0,F131/60*F123,0)</f>
        <v>0</v>
      </c>
      <c r="G142" s="127">
        <f>IF(H21&gt;0,H131/60*F124,0)</f>
        <v>0</v>
      </c>
      <c r="H142" s="127">
        <f>IF(H21&gt;0,I131/60*F$125,0)</f>
        <v>0</v>
      </c>
      <c r="I142" s="135">
        <f>SUM(F142:H142)</f>
        <v>0</v>
      </c>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row>
    <row r="143" spans="1:47" x14ac:dyDescent="0.3">
      <c r="A143" s="80"/>
      <c r="B143" s="80"/>
      <c r="C143" s="80"/>
      <c r="D143" s="83"/>
      <c r="E143" s="83" t="str">
        <f t="shared" si="15"/>
        <v>Vancomycin IV</v>
      </c>
      <c r="F143" s="127">
        <f>IF(K47&gt;0,F132/60*F$123+G132/60*F$123*(MIN(J47,K47)-1),0)</f>
        <v>34.134502179598947</v>
      </c>
      <c r="G143" s="127">
        <f>H132/60*F$124*MIN(J47,K47)</f>
        <v>45.306894507410625</v>
      </c>
      <c r="H143" s="127">
        <f>I132/60*F$125*MIN(J47,K47)</f>
        <v>34.000019002375296</v>
      </c>
      <c r="I143" s="135">
        <f>SUM(F143:H143)</f>
        <v>113.44141568938487</v>
      </c>
      <c r="J143" s="167"/>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row>
    <row r="144" spans="1:47" x14ac:dyDescent="0.3">
      <c r="A144" s="80"/>
      <c r="B144" s="80"/>
      <c r="C144" s="80"/>
      <c r="D144" s="83"/>
      <c r="E144" s="83" t="str">
        <f t="shared" si="15"/>
        <v>Linezolid IV</v>
      </c>
      <c r="F144" s="127">
        <f>IF(K48&gt;0,F133/60*F$123+G133/60*F$123*(MIN(J48,K48)-1),0)</f>
        <v>19.4059123178478</v>
      </c>
      <c r="G144" s="127">
        <f>H133/60*F$124*(MIN(J48,K48))</f>
        <v>19.821766346992153</v>
      </c>
      <c r="H144" s="127">
        <f>I133/60*F$125*MIN(J48,K48)</f>
        <v>49.583361045130644</v>
      </c>
      <c r="I144" s="135">
        <f>SUM(F144:H144)</f>
        <v>88.811039709970601</v>
      </c>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row>
    <row r="145" spans="1:47" x14ac:dyDescent="0.3">
      <c r="A145" s="80"/>
      <c r="B145" s="80"/>
      <c r="C145" s="80"/>
      <c r="D145" s="83"/>
      <c r="E145" s="83" t="str">
        <f t="shared" si="15"/>
        <v>Daptomycin</v>
      </c>
      <c r="F145" s="127">
        <f>IF(K53&gt;0,F134/60*F$123+G134/60*F$123*(MIN(J53,K53)-1),0)</f>
        <v>19.4059123178478</v>
      </c>
      <c r="G145" s="127">
        <f>H134/60*F$124*(MIN(J53,K53))</f>
        <v>33.036277244986913</v>
      </c>
      <c r="H145" s="127">
        <f>I134/60*F$125*MIN(J53,K53)</f>
        <v>24.791680522565322</v>
      </c>
      <c r="I145" s="135">
        <f t="shared" ref="I145:I147" si="16">SUM(F145:H145)</f>
        <v>77.233870085400042</v>
      </c>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row>
    <row r="146" spans="1:47" x14ac:dyDescent="0.3">
      <c r="A146" s="80"/>
      <c r="B146" s="80"/>
      <c r="C146" s="80"/>
      <c r="D146" s="83"/>
      <c r="E146" s="83" t="str">
        <f t="shared" si="15"/>
        <v>Cefazolin IV</v>
      </c>
      <c r="F146" s="127">
        <f>IF(K49&gt;0,F135/60*F$123+G135/60*F$123*(MIN(J49,K49)-1),0)</f>
        <v>9.7029561589239002</v>
      </c>
      <c r="G146" s="127">
        <f>H135/60*F$124*(MIN(J49,K49))</f>
        <v>49.554415867480373</v>
      </c>
      <c r="H146" s="127">
        <f>I135/60*F$125*MIN(J49,K49)</f>
        <v>74.375041567695959</v>
      </c>
      <c r="I146" s="135">
        <f t="shared" si="16"/>
        <v>133.63241359410023</v>
      </c>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row>
    <row r="147" spans="1:47" x14ac:dyDescent="0.3">
      <c r="A147" s="80"/>
      <c r="B147" s="80"/>
      <c r="C147" s="80"/>
      <c r="D147" s="83"/>
      <c r="E147" s="83" t="str">
        <f t="shared" si="15"/>
        <v>Ceftriaxone IV</v>
      </c>
      <c r="F147" s="127">
        <f>IF(K50&gt;0,F136/60*F$123+G136/60*F$123*(MIN(J50,K50)-1),0)</f>
        <v>9.7029561589239002</v>
      </c>
      <c r="G147" s="127">
        <f>H136/60*F$124*(MIN(J50,K50))</f>
        <v>16.518138622493456</v>
      </c>
      <c r="H147" s="127">
        <f>I136/60*F$125*MIN(J50,K50)</f>
        <v>24.791680522565322</v>
      </c>
      <c r="I147" s="135">
        <f t="shared" si="16"/>
        <v>51.012775303982679</v>
      </c>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row>
    <row r="148" spans="1:47" x14ac:dyDescent="0.3">
      <c r="A148" s="80"/>
      <c r="B148" s="80"/>
      <c r="C148" s="80"/>
      <c r="D148" s="83"/>
      <c r="E148" s="83" t="str">
        <f t="shared" si="15"/>
        <v>Other</v>
      </c>
      <c r="F148" s="127">
        <f>IF(K51&gt;0,F137/60*F$123+G137/60*F$123*(MIN(J51,K51)-1),0)</f>
        <v>0</v>
      </c>
      <c r="G148" s="127">
        <f>H137/60*F$124*(MIN(J51,K51))</f>
        <v>0</v>
      </c>
      <c r="H148" s="127">
        <f>I137/60*F$125*MIN(J51,K51)</f>
        <v>0</v>
      </c>
      <c r="I148" s="135">
        <f t="shared" ref="I148" si="17">SUM(F148:H148)</f>
        <v>0</v>
      </c>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row>
    <row r="149" spans="1:47" x14ac:dyDescent="0.3">
      <c r="A149" s="80"/>
      <c r="B149" s="80"/>
      <c r="C149" s="80"/>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row>
    <row r="150" spans="1:47" x14ac:dyDescent="0.3">
      <c r="A150" s="80"/>
      <c r="B150" s="80"/>
      <c r="C150" s="80"/>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row>
    <row r="151" spans="1:47" x14ac:dyDescent="0.3">
      <c r="A151" s="80"/>
      <c r="B151" s="80"/>
      <c r="C151" s="80"/>
      <c r="D151" s="83"/>
      <c r="E151" s="83"/>
      <c r="F151" s="83"/>
      <c r="G151" s="83"/>
      <c r="H151" s="83"/>
      <c r="I151" s="83"/>
      <c r="J151" s="83"/>
      <c r="K151" s="83"/>
      <c r="L151" s="83"/>
      <c r="M151" s="83"/>
      <c r="N151" s="83"/>
      <c r="O151" s="83"/>
      <c r="P151" s="83"/>
      <c r="Q151" s="83"/>
      <c r="R151" s="83"/>
      <c r="S151" s="83"/>
      <c r="T151" s="83"/>
      <c r="U151" s="83"/>
      <c r="V151" s="83"/>
      <c r="W151" s="83"/>
      <c r="X151" s="83"/>
      <c r="Y151" s="83"/>
      <c r="Z151" s="83"/>
      <c r="AA151" s="83"/>
      <c r="AB151" s="83"/>
      <c r="AC151" s="83"/>
      <c r="AD151" s="83"/>
      <c r="AE151" s="83"/>
      <c r="AF151" s="83"/>
      <c r="AG151" s="83"/>
      <c r="AH151" s="83"/>
      <c r="AI151" s="83"/>
      <c r="AJ151" s="83"/>
      <c r="AK151" s="83"/>
      <c r="AL151" s="83"/>
      <c r="AM151" s="83"/>
      <c r="AN151" s="83"/>
      <c r="AO151" s="83"/>
      <c r="AP151" s="83"/>
      <c r="AQ151" s="83"/>
      <c r="AR151" s="83"/>
      <c r="AS151" s="83"/>
    </row>
    <row r="152" spans="1:47" ht="18.600000000000001" thickBot="1" x14ac:dyDescent="0.4">
      <c r="A152" s="80"/>
      <c r="B152" s="80"/>
      <c r="C152" s="80"/>
      <c r="D152" s="83"/>
      <c r="E152" s="85" t="s">
        <v>135</v>
      </c>
      <c r="F152" s="86"/>
      <c r="G152" s="86"/>
      <c r="H152" s="86"/>
      <c r="I152" s="86"/>
      <c r="J152" s="86"/>
      <c r="K152" s="86"/>
      <c r="L152" s="86"/>
      <c r="M152" s="86"/>
      <c r="N152" s="86"/>
      <c r="O152" s="86"/>
      <c r="P152" s="86"/>
      <c r="Q152" s="86"/>
      <c r="R152" s="86"/>
      <c r="S152" s="86"/>
      <c r="T152" s="86"/>
      <c r="U152" s="86"/>
      <c r="V152" s="86"/>
      <c r="W152" s="86"/>
      <c r="X152" s="86"/>
      <c r="Y152" s="86"/>
      <c r="Z152" s="86"/>
      <c r="AA152" s="86"/>
      <c r="AB152" s="86"/>
      <c r="AC152" s="86"/>
      <c r="AD152" s="86"/>
      <c r="AE152" s="86"/>
      <c r="AF152" s="86"/>
      <c r="AG152" s="86"/>
      <c r="AH152" s="86"/>
      <c r="AI152" s="86"/>
      <c r="AJ152" s="86"/>
      <c r="AK152" s="86"/>
      <c r="AL152" s="86"/>
      <c r="AM152" s="86"/>
      <c r="AN152" s="86"/>
      <c r="AO152" s="86"/>
      <c r="AP152" s="86"/>
      <c r="AQ152" s="86"/>
      <c r="AR152" s="86"/>
      <c r="AS152" s="86"/>
    </row>
    <row r="153" spans="1:47" x14ac:dyDescent="0.3">
      <c r="A153" s="80"/>
      <c r="B153" s="80"/>
      <c r="C153" s="80"/>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row>
    <row r="154" spans="1:47" x14ac:dyDescent="0.3">
      <c r="A154" s="80"/>
      <c r="B154" s="80"/>
      <c r="C154" s="80"/>
      <c r="D154" s="83"/>
      <c r="E154" s="83"/>
      <c r="F154" s="83"/>
      <c r="G154" s="83"/>
      <c r="H154" s="83"/>
      <c r="I154" s="83"/>
      <c r="J154" s="83"/>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row>
    <row r="155" spans="1:47" ht="28.8" x14ac:dyDescent="0.3">
      <c r="A155" s="80"/>
      <c r="B155" s="80"/>
      <c r="C155" s="80"/>
      <c r="D155" s="83"/>
      <c r="E155" s="17" t="s">
        <v>269</v>
      </c>
      <c r="F155" s="2"/>
      <c r="G155" s="37" t="s">
        <v>137</v>
      </c>
      <c r="H155" s="158"/>
      <c r="I155" s="83"/>
      <c r="J155" s="159"/>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row>
    <row r="156" spans="1:47" x14ac:dyDescent="0.3">
      <c r="A156" s="80"/>
      <c r="B156" s="80"/>
      <c r="C156" s="80"/>
      <c r="D156" s="83"/>
      <c r="E156" s="83" t="s">
        <v>114</v>
      </c>
      <c r="F156" s="18"/>
      <c r="G156" s="149">
        <f>F125</f>
        <v>42.50002375296912</v>
      </c>
      <c r="H156" s="83" t="str">
        <f>G125</f>
        <v>Source: Statistics Canada 2018 data, inflated to December 2023</v>
      </c>
      <c r="I156" s="161"/>
      <c r="J156" s="160"/>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row>
    <row r="157" spans="1:47" x14ac:dyDescent="0.3">
      <c r="A157" s="80"/>
      <c r="B157" s="80"/>
      <c r="C157" s="80"/>
      <c r="D157" s="83"/>
      <c r="E157" s="2"/>
      <c r="F157" s="2"/>
      <c r="G157" s="146"/>
      <c r="H157" s="53"/>
      <c r="I157" s="144"/>
      <c r="J157" s="53"/>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row>
    <row r="158" spans="1:47" x14ac:dyDescent="0.3">
      <c r="A158" s="80"/>
      <c r="B158" s="80"/>
      <c r="C158" s="80"/>
      <c r="D158" s="83"/>
      <c r="E158" s="2"/>
      <c r="F158" s="2"/>
      <c r="G158" s="161"/>
      <c r="H158" s="161"/>
      <c r="I158" s="37"/>
      <c r="J158" s="159"/>
      <c r="K158" s="83"/>
      <c r="L158" s="83"/>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row>
    <row r="159" spans="1:47" ht="43.2" x14ac:dyDescent="0.3">
      <c r="A159" s="80"/>
      <c r="B159" s="80"/>
      <c r="C159" s="80"/>
      <c r="D159" s="83"/>
      <c r="E159" s="2" t="s">
        <v>138</v>
      </c>
      <c r="F159" s="2"/>
      <c r="G159" s="18" t="s">
        <v>139</v>
      </c>
      <c r="H159" s="20" t="s">
        <v>140</v>
      </c>
      <c r="I159" s="20" t="s">
        <v>141</v>
      </c>
      <c r="J159" s="98" t="s">
        <v>142</v>
      </c>
      <c r="K159" s="38" t="s">
        <v>143</v>
      </c>
      <c r="L159" s="2"/>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row>
    <row r="160" spans="1:47" x14ac:dyDescent="0.3">
      <c r="A160" s="80"/>
      <c r="B160" s="80"/>
      <c r="C160" s="80"/>
      <c r="D160" s="83"/>
      <c r="E160" s="2" t="str">
        <f t="shared" ref="E160:E166" si="18">E142</f>
        <v>Xydalba IV</v>
      </c>
      <c r="F160" s="2"/>
      <c r="G160" s="28">
        <f>30/60</f>
        <v>0.5</v>
      </c>
      <c r="H160" s="127">
        <f>G160*G$156</f>
        <v>21.25001187648456</v>
      </c>
      <c r="I160" s="142">
        <f>IF(setting_Xyd_dose=1,0,IF(H21&lt;8,1,0))</f>
        <v>0</v>
      </c>
      <c r="J160" s="135">
        <f>H160*I160</f>
        <v>0</v>
      </c>
      <c r="K160" s="39" t="s">
        <v>144</v>
      </c>
      <c r="L160" s="2"/>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row>
    <row r="161" spans="1:47" x14ac:dyDescent="0.3">
      <c r="A161" s="80"/>
      <c r="B161" s="80"/>
      <c r="C161" s="80"/>
      <c r="D161" s="83"/>
      <c r="E161" s="2" t="str">
        <f t="shared" si="18"/>
        <v>Vancomycin IV</v>
      </c>
      <c r="F161" s="2"/>
      <c r="G161" s="28">
        <f>F47*G47/60/10</f>
        <v>3.3333333333333335</v>
      </c>
      <c r="H161" s="127">
        <f>G161*G$156</f>
        <v>141.66674584323042</v>
      </c>
      <c r="I161" s="142">
        <f>MAX(0,J47-K47)</f>
        <v>2.2000000000000002</v>
      </c>
      <c r="J161" s="135">
        <f>H161*I161</f>
        <v>311.66684085510695</v>
      </c>
      <c r="K161" s="39" t="s">
        <v>145</v>
      </c>
      <c r="L161" s="2"/>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row>
    <row r="162" spans="1:47" x14ac:dyDescent="0.3">
      <c r="A162" s="80"/>
      <c r="B162" s="80"/>
      <c r="C162" s="80"/>
      <c r="D162" s="83"/>
      <c r="E162" s="2" t="str">
        <f t="shared" si="18"/>
        <v>Linezolid IV</v>
      </c>
      <c r="F162" s="2"/>
      <c r="G162" s="28">
        <f>((30+120)/2)*2/60</f>
        <v>2.5</v>
      </c>
      <c r="H162" s="127">
        <f t="shared" ref="H162:H165" si="19">G162*G$156</f>
        <v>106.2500593824228</v>
      </c>
      <c r="I162" s="142">
        <f>MAX(0,J48-K48)</f>
        <v>0</v>
      </c>
      <c r="J162" s="135">
        <f t="shared" ref="J162:J165" si="20">H162*I162</f>
        <v>0</v>
      </c>
      <c r="K162" s="39" t="s">
        <v>146</v>
      </c>
      <c r="L162" s="2"/>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row>
    <row r="163" spans="1:47" x14ac:dyDescent="0.3">
      <c r="A163" s="80"/>
      <c r="B163" s="80"/>
      <c r="C163" s="80"/>
      <c r="D163" s="83"/>
      <c r="E163" s="2" t="str">
        <f t="shared" si="18"/>
        <v>Daptomycin</v>
      </c>
      <c r="F163" s="2"/>
      <c r="G163" s="28">
        <f>30/60</f>
        <v>0.5</v>
      </c>
      <c r="H163" s="127">
        <f t="shared" si="19"/>
        <v>21.25001187648456</v>
      </c>
      <c r="I163" s="142">
        <f>MAX(0,J53-K53)</f>
        <v>0</v>
      </c>
      <c r="J163" s="135">
        <f t="shared" si="20"/>
        <v>0</v>
      </c>
      <c r="K163" s="39" t="s">
        <v>147</v>
      </c>
      <c r="L163" s="2"/>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row>
    <row r="164" spans="1:47" x14ac:dyDescent="0.3">
      <c r="A164" s="80"/>
      <c r="B164" s="80"/>
      <c r="C164" s="80"/>
      <c r="D164" s="83"/>
      <c r="E164" s="2" t="str">
        <f t="shared" si="18"/>
        <v>Cefazolin IV</v>
      </c>
      <c r="F164" s="2"/>
      <c r="G164" s="28">
        <f>4*G49/60</f>
        <v>0.2</v>
      </c>
      <c r="H164" s="127">
        <f t="shared" si="19"/>
        <v>8.5000047505938241</v>
      </c>
      <c r="I164" s="142">
        <f>MAX(0,J49-K49)</f>
        <v>0</v>
      </c>
      <c r="J164" s="135">
        <f t="shared" si="20"/>
        <v>0</v>
      </c>
      <c r="K164" s="39" t="s">
        <v>148</v>
      </c>
      <c r="L164" s="2"/>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row>
    <row r="165" spans="1:47" x14ac:dyDescent="0.3">
      <c r="A165" s="80"/>
      <c r="B165" s="80"/>
      <c r="C165" s="80"/>
      <c r="D165" s="83"/>
      <c r="E165" s="2" t="str">
        <f t="shared" si="18"/>
        <v>Ceftriaxone IV</v>
      </c>
      <c r="F165" s="2"/>
      <c r="G165" s="28">
        <f>((20+30)/2)/60</f>
        <v>0.41666666666666669</v>
      </c>
      <c r="H165" s="127">
        <f t="shared" si="19"/>
        <v>17.708343230403802</v>
      </c>
      <c r="I165" s="142">
        <f>MAX(0,J50-K50)</f>
        <v>0</v>
      </c>
      <c r="J165" s="135">
        <f t="shared" si="20"/>
        <v>0</v>
      </c>
      <c r="K165" s="39" t="s">
        <v>149</v>
      </c>
      <c r="L165" s="2"/>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row>
    <row r="166" spans="1:47" x14ac:dyDescent="0.3">
      <c r="A166" s="80"/>
      <c r="B166" s="80"/>
      <c r="C166" s="80"/>
      <c r="D166" s="83"/>
      <c r="E166" s="2" t="str">
        <f t="shared" si="18"/>
        <v>Other</v>
      </c>
      <c r="F166" s="2"/>
      <c r="G166" s="28">
        <v>0</v>
      </c>
      <c r="H166" s="127">
        <f>G166*G$156</f>
        <v>0</v>
      </c>
      <c r="I166" s="142">
        <f>MAX(0,J51-K51)</f>
        <v>0</v>
      </c>
      <c r="J166" s="135">
        <f t="shared" ref="J166" si="21">H166*I166</f>
        <v>0</v>
      </c>
      <c r="K166" s="39" t="s">
        <v>288</v>
      </c>
      <c r="L166" s="2"/>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c r="AT166" s="83"/>
      <c r="AU166" s="83"/>
    </row>
    <row r="167" spans="1:47" x14ac:dyDescent="0.3">
      <c r="A167" s="80"/>
      <c r="B167" s="80"/>
      <c r="C167" s="80"/>
      <c r="D167" s="83"/>
      <c r="E167" s="117" t="s">
        <v>150</v>
      </c>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row>
    <row r="168" spans="1:47" x14ac:dyDescent="0.3">
      <c r="A168" s="80"/>
      <c r="B168" s="80"/>
      <c r="C168" s="80"/>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row>
    <row r="169" spans="1:47" x14ac:dyDescent="0.3">
      <c r="A169" s="80"/>
      <c r="B169" s="80"/>
      <c r="C169" s="80"/>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row>
    <row r="170" spans="1:47" x14ac:dyDescent="0.3">
      <c r="A170" s="80"/>
      <c r="B170" s="80"/>
      <c r="C170" s="80"/>
      <c r="D170" s="83"/>
      <c r="E170" s="83"/>
      <c r="F170" s="83"/>
      <c r="G170" s="83"/>
      <c r="H170" s="83"/>
      <c r="I170" s="83"/>
      <c r="J170" s="83"/>
      <c r="K170" s="83"/>
      <c r="L170" s="83"/>
      <c r="M170" s="83"/>
      <c r="N170" s="83"/>
      <c r="O170" s="83"/>
      <c r="P170" s="83"/>
      <c r="Q170" s="83"/>
      <c r="R170" s="83"/>
      <c r="S170" s="83"/>
      <c r="T170" s="83"/>
      <c r="U170" s="83"/>
      <c r="V170" s="83"/>
      <c r="W170" s="83"/>
      <c r="X170" s="83"/>
      <c r="Y170" s="83"/>
      <c r="Z170" s="83"/>
      <c r="AA170" s="83"/>
      <c r="AB170" s="83"/>
      <c r="AC170" s="83"/>
      <c r="AD170" s="83"/>
      <c r="AE170" s="83"/>
      <c r="AF170" s="83"/>
      <c r="AG170" s="83"/>
      <c r="AH170" s="83"/>
      <c r="AI170" s="83"/>
      <c r="AJ170" s="83"/>
      <c r="AK170" s="83"/>
      <c r="AL170" s="83"/>
      <c r="AM170" s="83"/>
      <c r="AN170" s="83"/>
      <c r="AO170" s="83"/>
      <c r="AP170" s="83"/>
      <c r="AQ170" s="83"/>
      <c r="AR170" s="83"/>
      <c r="AS170" s="83"/>
    </row>
    <row r="171" spans="1:47" ht="18.600000000000001" thickBot="1" x14ac:dyDescent="0.4">
      <c r="A171" s="80"/>
      <c r="B171" s="80"/>
      <c r="C171" s="80"/>
      <c r="D171" s="83"/>
      <c r="E171" s="85" t="s">
        <v>151</v>
      </c>
      <c r="F171" s="86"/>
      <c r="G171" s="86"/>
      <c r="H171" s="86"/>
      <c r="I171" s="86"/>
      <c r="J171" s="86"/>
      <c r="K171" s="86"/>
      <c r="L171" s="86"/>
      <c r="M171" s="86"/>
      <c r="N171" s="86"/>
      <c r="O171" s="86"/>
      <c r="P171" s="86"/>
      <c r="Q171" s="86"/>
      <c r="R171" s="86"/>
      <c r="S171" s="86"/>
      <c r="T171" s="86"/>
      <c r="U171" s="86"/>
      <c r="V171" s="86"/>
      <c r="W171" s="86"/>
      <c r="X171" s="86"/>
      <c r="Y171" s="86"/>
      <c r="Z171" s="86"/>
      <c r="AA171" s="86"/>
      <c r="AB171" s="86"/>
      <c r="AC171" s="86"/>
      <c r="AD171" s="86"/>
      <c r="AE171" s="86"/>
      <c r="AF171" s="86"/>
      <c r="AG171" s="86"/>
      <c r="AH171" s="86"/>
      <c r="AI171" s="86"/>
      <c r="AJ171" s="86"/>
      <c r="AK171" s="86"/>
      <c r="AL171" s="86"/>
      <c r="AM171" s="86"/>
      <c r="AN171" s="86"/>
      <c r="AO171" s="86"/>
      <c r="AP171" s="86"/>
      <c r="AQ171" s="86"/>
      <c r="AR171" s="86"/>
      <c r="AS171" s="86"/>
    </row>
    <row r="172" spans="1:47" ht="18" x14ac:dyDescent="0.35">
      <c r="A172" s="80"/>
      <c r="B172" s="80"/>
      <c r="C172" s="80"/>
      <c r="D172" s="83"/>
      <c r="E172" s="123"/>
      <c r="F172" s="83"/>
      <c r="G172" s="83"/>
      <c r="H172" s="83"/>
      <c r="I172" s="83"/>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row>
    <row r="173" spans="1:47" ht="15" thickBot="1" x14ac:dyDescent="0.35">
      <c r="A173" s="80"/>
      <c r="B173" s="80"/>
      <c r="C173" s="80"/>
      <c r="D173" s="83"/>
      <c r="E173" s="83"/>
      <c r="F173" s="190" t="s">
        <v>152</v>
      </c>
      <c r="G173" s="190"/>
      <c r="H173" s="190"/>
      <c r="I173" s="190"/>
      <c r="J173" s="83"/>
      <c r="K173" s="83"/>
      <c r="L173" s="83"/>
      <c r="M173" s="83"/>
      <c r="N173" s="83"/>
      <c r="O173" s="83"/>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row>
    <row r="174" spans="1:47" ht="57.6" x14ac:dyDescent="0.3">
      <c r="A174" s="80"/>
      <c r="B174" s="80"/>
      <c r="C174" s="80"/>
      <c r="D174" s="83"/>
      <c r="E174" s="83"/>
      <c r="F174" s="98" t="s">
        <v>153</v>
      </c>
      <c r="G174" s="98" t="s">
        <v>154</v>
      </c>
      <c r="H174" s="98" t="s">
        <v>155</v>
      </c>
      <c r="I174" s="98" t="s">
        <v>156</v>
      </c>
      <c r="J174" s="157"/>
      <c r="K174" s="98" t="s">
        <v>157</v>
      </c>
      <c r="L174" s="98" t="s">
        <v>158</v>
      </c>
      <c r="M174" s="99" t="s">
        <v>339</v>
      </c>
      <c r="N174" s="98" t="s">
        <v>159</v>
      </c>
      <c r="O174" s="98" t="s">
        <v>160</v>
      </c>
      <c r="P174" s="98" t="s">
        <v>161</v>
      </c>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row>
    <row r="175" spans="1:47" x14ac:dyDescent="0.3">
      <c r="A175" s="80"/>
      <c r="B175" s="80"/>
      <c r="C175" s="80"/>
      <c r="D175" s="83"/>
      <c r="E175" s="83" t="str">
        <f t="shared" ref="E175:E181" si="22">E131</f>
        <v>Xydalba IV</v>
      </c>
      <c r="F175" s="73">
        <v>0</v>
      </c>
      <c r="G175" s="73">
        <v>0</v>
      </c>
      <c r="H175" s="73">
        <v>0</v>
      </c>
      <c r="I175" s="73">
        <v>0</v>
      </c>
      <c r="J175" s="157"/>
      <c r="K175" s="127">
        <f>SUMPRODUCT(F175:I175,F$183:I$183)</f>
        <v>0</v>
      </c>
      <c r="L175" s="142">
        <f>IF(H21&gt;0,IF(setting_Xyd_dose=1,1,IF(H21&lt;8,1,2)),0)</f>
        <v>0</v>
      </c>
      <c r="M175" s="142">
        <f>IF(setting_Xyd_dose=1,1-L175,2-L175)</f>
        <v>1</v>
      </c>
      <c r="N175" s="135">
        <f>IF(H21&gt;0,IF(H21&lt;4,0,IF(H21&lt;11,1,2))*K175,0)</f>
        <v>0</v>
      </c>
      <c r="O175" s="135">
        <f>K175*M175</f>
        <v>0</v>
      </c>
      <c r="P175" s="135">
        <f>SUM(N175:O175)</f>
        <v>0</v>
      </c>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row>
    <row r="176" spans="1:47" x14ac:dyDescent="0.3">
      <c r="A176" s="80"/>
      <c r="B176" s="80"/>
      <c r="C176" s="80"/>
      <c r="D176" s="83"/>
      <c r="E176" s="83" t="str">
        <f t="shared" si="22"/>
        <v>Vancomycin IV</v>
      </c>
      <c r="F176" s="73">
        <v>1</v>
      </c>
      <c r="G176" s="73">
        <v>1</v>
      </c>
      <c r="H176" s="73">
        <v>0</v>
      </c>
      <c r="I176" s="73">
        <v>1</v>
      </c>
      <c r="J176" s="162"/>
      <c r="K176" s="127">
        <f>SUMPRODUCT(F176:I176,F$183:I$183)</f>
        <v>31.583255109765329</v>
      </c>
      <c r="L176" s="142">
        <f>CEILING(MIN(H22,J47)/7,1)</f>
        <v>1</v>
      </c>
      <c r="M176" s="142">
        <f>CEILING(J47/7,1)-L176</f>
        <v>0</v>
      </c>
      <c r="N176" s="135">
        <f t="shared" ref="N176:N181" si="23">IF(H22&gt;0,IF(H22&lt;8,1,2)*K176,0)</f>
        <v>63.166510219530657</v>
      </c>
      <c r="O176" s="135">
        <f>K176*M176</f>
        <v>0</v>
      </c>
      <c r="P176" s="135">
        <f>SUM(N176:O176)</f>
        <v>63.166510219530657</v>
      </c>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row>
    <row r="177" spans="1:47" x14ac:dyDescent="0.3">
      <c r="A177" s="80"/>
      <c r="B177" s="80"/>
      <c r="C177" s="80"/>
      <c r="D177" s="83"/>
      <c r="E177" s="83" t="str">
        <f t="shared" si="22"/>
        <v>Linezolid IV</v>
      </c>
      <c r="F177" s="73">
        <v>1</v>
      </c>
      <c r="G177" s="73">
        <v>0</v>
      </c>
      <c r="H177" s="73">
        <v>1</v>
      </c>
      <c r="I177" s="73">
        <v>0</v>
      </c>
      <c r="J177" s="162"/>
      <c r="K177" s="127">
        <f t="shared" ref="K177:K180" si="24">SUMPRODUCT(F177:I177,F$183:I$183)</f>
        <v>10.10575321725965</v>
      </c>
      <c r="L177" s="142">
        <f>CEILING(MIN(H23,J48)/7,1)</f>
        <v>1</v>
      </c>
      <c r="M177" s="142">
        <f>CEILING(J48/7,1)-L177</f>
        <v>0</v>
      </c>
      <c r="N177" s="135">
        <f t="shared" si="23"/>
        <v>20.211506434519301</v>
      </c>
      <c r="O177" s="135">
        <f t="shared" ref="O177:O180" si="25">K177*M177</f>
        <v>0</v>
      </c>
      <c r="P177" s="135">
        <f t="shared" ref="P177:P180" si="26">SUM(N177:O177)</f>
        <v>20.211506434519301</v>
      </c>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row>
    <row r="178" spans="1:47" x14ac:dyDescent="0.3">
      <c r="A178" s="80"/>
      <c r="B178" s="80"/>
      <c r="C178" s="80"/>
      <c r="D178" s="83"/>
      <c r="E178" s="83" t="str">
        <f t="shared" si="22"/>
        <v>Daptomycin</v>
      </c>
      <c r="F178" s="73">
        <v>1</v>
      </c>
      <c r="G178" s="73">
        <v>1</v>
      </c>
      <c r="H178" s="73">
        <v>0</v>
      </c>
      <c r="I178" s="73">
        <v>0</v>
      </c>
      <c r="J178" s="157"/>
      <c r="K178" s="127">
        <f t="shared" si="24"/>
        <v>15.391839515518544</v>
      </c>
      <c r="L178" s="142">
        <f>CEILING(MIN(H24,J53)/7,1)</f>
        <v>1</v>
      </c>
      <c r="M178" s="142">
        <f>CEILING(J53/7,1)-L178</f>
        <v>0</v>
      </c>
      <c r="N178" s="135">
        <f t="shared" si="23"/>
        <v>30.783679031037089</v>
      </c>
      <c r="O178" s="135">
        <f t="shared" si="25"/>
        <v>0</v>
      </c>
      <c r="P178" s="135">
        <f t="shared" si="26"/>
        <v>30.783679031037089</v>
      </c>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row>
    <row r="179" spans="1:47" x14ac:dyDescent="0.3">
      <c r="A179" s="80"/>
      <c r="B179" s="80"/>
      <c r="C179" s="80"/>
      <c r="D179" s="83"/>
      <c r="E179" s="83" t="str">
        <f t="shared" si="22"/>
        <v>Cefazolin IV</v>
      </c>
      <c r="F179" s="73">
        <v>1</v>
      </c>
      <c r="G179" s="73">
        <v>1</v>
      </c>
      <c r="H179" s="73">
        <v>0</v>
      </c>
      <c r="I179" s="73">
        <v>0</v>
      </c>
      <c r="J179" s="157"/>
      <c r="K179" s="127">
        <f t="shared" si="24"/>
        <v>15.391839515518544</v>
      </c>
      <c r="L179" s="142">
        <f>CEILING(MIN(H25,J49)/7,1)</f>
        <v>1</v>
      </c>
      <c r="M179" s="142">
        <f>CEILING(J49/7,1)-L178</f>
        <v>0</v>
      </c>
      <c r="N179" s="135">
        <f t="shared" si="23"/>
        <v>30.783679031037089</v>
      </c>
      <c r="O179" s="135">
        <f t="shared" si="25"/>
        <v>0</v>
      </c>
      <c r="P179" s="135">
        <f t="shared" si="26"/>
        <v>30.783679031037089</v>
      </c>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row>
    <row r="180" spans="1:47" x14ac:dyDescent="0.3">
      <c r="A180" s="80"/>
      <c r="B180" s="80"/>
      <c r="C180" s="80"/>
      <c r="D180" s="83"/>
      <c r="E180" s="83" t="str">
        <f t="shared" si="22"/>
        <v>Ceftriaxone IV</v>
      </c>
      <c r="F180" s="73">
        <v>1</v>
      </c>
      <c r="G180" s="73">
        <v>1</v>
      </c>
      <c r="H180" s="73">
        <v>1</v>
      </c>
      <c r="I180" s="73">
        <v>0</v>
      </c>
      <c r="J180" s="157"/>
      <c r="K180" s="127">
        <f t="shared" si="24"/>
        <v>21.077713853141557</v>
      </c>
      <c r="L180" s="142">
        <f>CEILING(MIN(H26,J50)/7,1)</f>
        <v>1</v>
      </c>
      <c r="M180" s="142">
        <f>CEILING(J50/7,1)-L179</f>
        <v>0</v>
      </c>
      <c r="N180" s="135">
        <f t="shared" si="23"/>
        <v>42.155427706283113</v>
      </c>
      <c r="O180" s="135">
        <f t="shared" si="25"/>
        <v>0</v>
      </c>
      <c r="P180" s="135">
        <f t="shared" si="26"/>
        <v>42.155427706283113</v>
      </c>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row>
    <row r="181" spans="1:47" x14ac:dyDescent="0.3">
      <c r="A181" s="80"/>
      <c r="B181" s="80"/>
      <c r="C181" s="80"/>
      <c r="D181" s="83"/>
      <c r="E181" s="83" t="str">
        <f t="shared" si="22"/>
        <v>Other</v>
      </c>
      <c r="F181" s="73">
        <v>0</v>
      </c>
      <c r="G181" s="73">
        <v>0</v>
      </c>
      <c r="H181" s="73">
        <v>0</v>
      </c>
      <c r="I181" s="73">
        <v>0</v>
      </c>
      <c r="J181" s="157"/>
      <c r="K181" s="127">
        <f t="shared" ref="K181" si="27">SUMPRODUCT(F181:I181,F$183:I$183)</f>
        <v>0</v>
      </c>
      <c r="L181" s="142">
        <f>CEILING(MIN(H27,J51)/7,1)</f>
        <v>1</v>
      </c>
      <c r="M181" s="142">
        <f>CEILING(J51/7,1)-L180</f>
        <v>0</v>
      </c>
      <c r="N181" s="135">
        <f t="shared" si="23"/>
        <v>0</v>
      </c>
      <c r="O181" s="135">
        <f t="shared" ref="O181" si="28">K181*M181</f>
        <v>0</v>
      </c>
      <c r="P181" s="135">
        <f t="shared" ref="P181" si="29">SUM(N181:O181)</f>
        <v>0</v>
      </c>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c r="AT181" s="83"/>
      <c r="AU181" s="83"/>
    </row>
    <row r="182" spans="1:47" x14ac:dyDescent="0.3">
      <c r="A182" s="80"/>
      <c r="B182" s="80"/>
      <c r="C182" s="80"/>
      <c r="D182" s="83"/>
      <c r="E182" s="83"/>
      <c r="F182" s="105"/>
      <c r="G182" s="105"/>
      <c r="H182" s="105"/>
      <c r="I182" s="105"/>
      <c r="J182" s="157"/>
      <c r="K182" s="157"/>
      <c r="L182" s="157"/>
      <c r="M182" s="157"/>
      <c r="N182" s="157"/>
      <c r="O182" s="157"/>
      <c r="P182" s="157"/>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row>
    <row r="183" spans="1:47" x14ac:dyDescent="0.3">
      <c r="A183" s="80"/>
      <c r="B183" s="80"/>
      <c r="C183" s="80"/>
      <c r="D183" s="83"/>
      <c r="E183" s="83" t="s">
        <v>162</v>
      </c>
      <c r="F183" s="78">
        <f>List!C34/List!$B75*List!$B83</f>
        <v>4.4198788796366388</v>
      </c>
      <c r="G183" s="78">
        <f>List!C35/List!$B75*List!$B83</f>
        <v>10.971960635881906</v>
      </c>
      <c r="H183" s="78">
        <f>List!C36/List!$B75*List!$B83</f>
        <v>5.6858743376230123</v>
      </c>
      <c r="I183" s="78">
        <f>List!C37/List!$B75*List!$B83</f>
        <v>16.191415594246784</v>
      </c>
      <c r="J183" s="83"/>
      <c r="K183" s="157"/>
      <c r="L183" s="157"/>
      <c r="M183" s="157"/>
      <c r="N183" s="157"/>
      <c r="O183" s="157"/>
      <c r="P183" s="157"/>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row>
    <row r="184" spans="1:47" x14ac:dyDescent="0.3">
      <c r="A184" s="80"/>
      <c r="B184" s="80"/>
      <c r="C184" s="80"/>
      <c r="D184" s="83"/>
      <c r="E184" s="117" t="s">
        <v>163</v>
      </c>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row>
    <row r="185" spans="1:47" x14ac:dyDescent="0.3">
      <c r="A185" s="80"/>
      <c r="B185" s="80"/>
      <c r="C185" s="80"/>
      <c r="D185" s="83"/>
      <c r="E185" s="125" t="s">
        <v>315</v>
      </c>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row>
    <row r="186" spans="1:47" x14ac:dyDescent="0.3">
      <c r="A186" s="80"/>
      <c r="B186" s="80"/>
      <c r="C186" s="80"/>
      <c r="D186" s="83"/>
      <c r="E186" s="117" t="s">
        <v>165</v>
      </c>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row>
    <row r="187" spans="1:47" x14ac:dyDescent="0.3">
      <c r="A187" s="80"/>
      <c r="B187" s="80"/>
      <c r="C187" s="80"/>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row>
    <row r="188" spans="1:47" x14ac:dyDescent="0.3">
      <c r="A188" s="80"/>
      <c r="B188" s="80"/>
      <c r="C188" s="80"/>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row>
    <row r="189" spans="1:47" x14ac:dyDescent="0.3">
      <c r="A189" s="80"/>
      <c r="B189" s="80"/>
      <c r="C189" s="80"/>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row>
    <row r="190" spans="1:47" x14ac:dyDescent="0.3">
      <c r="A190" s="80"/>
      <c r="B190" s="80"/>
      <c r="C190" s="80"/>
      <c r="D190" s="83"/>
      <c r="E190" s="83"/>
      <c r="F190" s="83"/>
      <c r="G190" s="83"/>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row>
    <row r="191" spans="1:47" x14ac:dyDescent="0.3">
      <c r="A191" s="80"/>
      <c r="B191" s="80"/>
      <c r="C191" s="80"/>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row>
    <row r="192" spans="1:47" x14ac:dyDescent="0.3">
      <c r="A192" s="80"/>
      <c r="B192" s="80"/>
      <c r="C192" s="80"/>
      <c r="D192" s="83"/>
      <c r="E192" s="83"/>
      <c r="F192" s="83"/>
      <c r="G192" s="83"/>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row>
    <row r="193" spans="1:45" x14ac:dyDescent="0.3">
      <c r="A193" s="80"/>
      <c r="B193" s="80"/>
      <c r="C193" s="80"/>
      <c r="D193" s="83"/>
      <c r="E193" s="83"/>
      <c r="F193" s="83"/>
      <c r="G193" s="83"/>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row>
    <row r="194" spans="1:45" x14ac:dyDescent="0.3">
      <c r="A194" s="80"/>
      <c r="B194" s="80"/>
      <c r="C194" s="80"/>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row>
    <row r="195" spans="1:45" x14ac:dyDescent="0.3">
      <c r="A195" s="80"/>
      <c r="B195" s="80"/>
      <c r="C195" s="80"/>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row>
    <row r="196" spans="1:45" x14ac:dyDescent="0.3">
      <c r="A196" s="80"/>
      <c r="B196" s="80"/>
      <c r="C196" s="80"/>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row>
    <row r="197" spans="1:45" x14ac:dyDescent="0.3">
      <c r="A197" s="80"/>
      <c r="B197" s="80"/>
      <c r="C197" s="80"/>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row>
    <row r="198" spans="1:45" x14ac:dyDescent="0.3">
      <c r="A198" s="80"/>
      <c r="B198" s="80"/>
      <c r="C198" s="80"/>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row>
    <row r="199" spans="1:45" x14ac:dyDescent="0.3">
      <c r="A199" s="80"/>
      <c r="B199" s="80"/>
      <c r="C199" s="80"/>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row>
    <row r="200" spans="1:45" x14ac:dyDescent="0.3">
      <c r="A200" s="80"/>
      <c r="B200" s="80"/>
      <c r="C200" s="80"/>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row>
    <row r="201" spans="1:45" x14ac:dyDescent="0.3">
      <c r="A201" s="80"/>
      <c r="B201" s="80"/>
      <c r="C201" s="80"/>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row>
    <row r="202" spans="1:45" x14ac:dyDescent="0.3">
      <c r="A202" s="80"/>
      <c r="B202" s="80"/>
      <c r="C202" s="80"/>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row>
    <row r="203" spans="1:45" x14ac:dyDescent="0.3">
      <c r="A203" s="80"/>
      <c r="B203" s="80"/>
      <c r="C203" s="80"/>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row>
    <row r="204" spans="1:45" x14ac:dyDescent="0.3">
      <c r="A204" s="80"/>
      <c r="B204" s="80"/>
      <c r="C204" s="80"/>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row>
    <row r="205" spans="1:45" x14ac:dyDescent="0.3">
      <c r="A205" s="80"/>
      <c r="B205" s="80"/>
      <c r="C205" s="80"/>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row>
    <row r="206" spans="1:45" x14ac:dyDescent="0.3">
      <c r="A206" s="80"/>
      <c r="B206" s="80"/>
      <c r="C206" s="80"/>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row>
    <row r="207" spans="1:45" x14ac:dyDescent="0.3">
      <c r="A207" s="80"/>
      <c r="B207" s="80"/>
      <c r="C207" s="80"/>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row>
    <row r="208" spans="1:45" x14ac:dyDescent="0.3">
      <c r="A208" s="80"/>
      <c r="B208" s="80"/>
      <c r="C208" s="80"/>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row>
    <row r="209" spans="1:45" x14ac:dyDescent="0.3">
      <c r="A209" s="80"/>
      <c r="B209" s="80"/>
      <c r="C209" s="80"/>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row>
    <row r="210" spans="1:45" x14ac:dyDescent="0.3">
      <c r="A210" s="80"/>
      <c r="B210" s="80"/>
      <c r="C210" s="80"/>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row>
    <row r="211" spans="1:45" x14ac:dyDescent="0.3">
      <c r="A211" s="80"/>
      <c r="B211" s="80"/>
      <c r="C211" s="80"/>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row>
    <row r="212" spans="1:45" x14ac:dyDescent="0.3">
      <c r="A212" s="80"/>
      <c r="B212" s="80"/>
      <c r="C212" s="80"/>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row>
    <row r="213" spans="1:45" x14ac:dyDescent="0.3">
      <c r="A213" s="80"/>
      <c r="B213" s="80"/>
      <c r="C213" s="80"/>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row>
    <row r="214" spans="1:45" x14ac:dyDescent="0.3">
      <c r="A214" s="80"/>
      <c r="B214" s="80"/>
      <c r="C214" s="80"/>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row>
    <row r="215" spans="1:45" x14ac:dyDescent="0.3">
      <c r="A215" s="80"/>
      <c r="B215" s="80"/>
      <c r="C215" s="80"/>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row>
    <row r="216" spans="1:45" x14ac:dyDescent="0.3">
      <c r="A216" s="80"/>
      <c r="B216" s="80"/>
      <c r="C216" s="80"/>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row>
    <row r="217" spans="1:45" x14ac:dyDescent="0.3">
      <c r="A217" s="80"/>
      <c r="B217" s="80"/>
      <c r="C217" s="80"/>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row>
    <row r="218" spans="1:45" x14ac:dyDescent="0.3">
      <c r="A218" s="80"/>
      <c r="B218" s="80"/>
      <c r="C218" s="80"/>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row>
    <row r="219" spans="1:45" x14ac:dyDescent="0.3">
      <c r="A219" s="80"/>
      <c r="B219" s="80"/>
      <c r="C219" s="80"/>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row>
    <row r="220" spans="1:45" x14ac:dyDescent="0.3">
      <c r="A220" s="80"/>
      <c r="B220" s="80"/>
      <c r="C220" s="80"/>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row>
    <row r="221" spans="1:45" x14ac:dyDescent="0.3">
      <c r="A221" s="80"/>
      <c r="B221" s="80"/>
      <c r="C221" s="80"/>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row>
    <row r="222" spans="1:45" x14ac:dyDescent="0.3">
      <c r="A222" s="80"/>
      <c r="B222" s="80"/>
      <c r="C222" s="80"/>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row>
    <row r="223" spans="1:45" x14ac:dyDescent="0.3">
      <c r="A223" s="80"/>
      <c r="B223" s="80"/>
      <c r="C223" s="80"/>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row>
    <row r="224" spans="1:45" x14ac:dyDescent="0.3">
      <c r="A224" s="80"/>
      <c r="B224" s="80"/>
      <c r="C224" s="80"/>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row>
    <row r="225" spans="1:45" x14ac:dyDescent="0.3">
      <c r="A225" s="80"/>
      <c r="B225" s="80"/>
      <c r="C225" s="80"/>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row>
    <row r="226" spans="1:45" x14ac:dyDescent="0.3">
      <c r="A226" s="80"/>
      <c r="B226" s="80"/>
      <c r="C226" s="80"/>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row>
    <row r="227" spans="1:45" x14ac:dyDescent="0.3">
      <c r="A227" s="80"/>
      <c r="B227" s="80"/>
      <c r="C227" s="80"/>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row>
    <row r="228" spans="1:45" x14ac:dyDescent="0.3">
      <c r="A228" s="80"/>
      <c r="B228" s="80"/>
      <c r="C228" s="80"/>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row>
    <row r="229" spans="1:45" x14ac:dyDescent="0.3">
      <c r="A229" s="80"/>
      <c r="B229" s="80"/>
      <c r="C229" s="80"/>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row>
    <row r="230" spans="1:45" x14ac:dyDescent="0.3">
      <c r="A230" s="80"/>
      <c r="B230" s="80"/>
      <c r="C230" s="80"/>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row>
    <row r="231" spans="1:45" x14ac:dyDescent="0.3">
      <c r="A231" s="80"/>
      <c r="B231" s="80"/>
      <c r="C231" s="80"/>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row>
    <row r="232" spans="1:45" x14ac:dyDescent="0.3">
      <c r="A232" s="80"/>
      <c r="B232" s="80"/>
      <c r="C232" s="80"/>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row>
    <row r="233" spans="1:45" x14ac:dyDescent="0.3">
      <c r="A233" s="80"/>
      <c r="B233" s="80"/>
      <c r="C233" s="80"/>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row>
    <row r="234" spans="1:45" x14ac:dyDescent="0.3">
      <c r="A234" s="80"/>
      <c r="B234" s="80"/>
      <c r="C234" s="80"/>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row>
    <row r="235" spans="1:45" x14ac:dyDescent="0.3">
      <c r="A235" s="80"/>
      <c r="B235" s="80"/>
      <c r="C235" s="80"/>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row>
    <row r="236" spans="1:45" x14ac:dyDescent="0.3">
      <c r="A236" s="80"/>
      <c r="B236" s="80"/>
      <c r="C236" s="80"/>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row>
    <row r="237" spans="1:45" x14ac:dyDescent="0.3">
      <c r="A237" s="80"/>
      <c r="B237" s="80"/>
      <c r="C237" s="80"/>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row>
    <row r="238" spans="1:45" x14ac:dyDescent="0.3">
      <c r="A238" s="80"/>
      <c r="B238" s="80"/>
      <c r="C238" s="80"/>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row>
    <row r="239" spans="1:45" x14ac:dyDescent="0.3">
      <c r="A239" s="80"/>
      <c r="B239" s="80"/>
      <c r="C239" s="80"/>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row>
    <row r="240" spans="1:45" x14ac:dyDescent="0.3">
      <c r="A240" s="80"/>
      <c r="B240" s="80"/>
      <c r="C240" s="80"/>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row>
    <row r="241" spans="1:45" x14ac:dyDescent="0.3">
      <c r="A241" s="80"/>
      <c r="B241" s="80"/>
      <c r="C241" s="80"/>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row>
    <row r="242" spans="1:45" x14ac:dyDescent="0.3">
      <c r="A242" s="80"/>
      <c r="B242" s="80"/>
      <c r="C242" s="80"/>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row>
    <row r="243" spans="1:45" x14ac:dyDescent="0.3">
      <c r="A243" s="80"/>
      <c r="B243" s="80"/>
      <c r="C243" s="80"/>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row>
    <row r="244" spans="1:45" x14ac:dyDescent="0.3">
      <c r="A244" s="80"/>
      <c r="B244" s="80"/>
      <c r="C244" s="80"/>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row>
    <row r="245" spans="1:45" x14ac:dyDescent="0.3">
      <c r="A245" s="80"/>
      <c r="B245" s="80"/>
      <c r="C245" s="80"/>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row>
    <row r="246" spans="1:45" x14ac:dyDescent="0.3">
      <c r="A246" s="80"/>
      <c r="B246" s="80"/>
      <c r="C246" s="80"/>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row>
    <row r="247" spans="1:45" x14ac:dyDescent="0.3">
      <c r="A247" s="80"/>
      <c r="B247" s="80"/>
      <c r="C247" s="80"/>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row>
    <row r="248" spans="1:45" x14ac:dyDescent="0.3">
      <c r="A248" s="80"/>
      <c r="B248" s="80"/>
      <c r="C248" s="80"/>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row>
    <row r="249" spans="1:45" x14ac:dyDescent="0.3">
      <c r="A249" s="80"/>
      <c r="B249" s="80"/>
      <c r="C249" s="80"/>
      <c r="D249" s="83"/>
      <c r="E249" s="83"/>
      <c r="F249" s="83"/>
      <c r="G249" s="83"/>
      <c r="H249" s="83"/>
      <c r="I249" s="83"/>
      <c r="J249" s="83"/>
      <c r="K249" s="83"/>
      <c r="L249" s="83"/>
      <c r="M249" s="83"/>
      <c r="N249" s="83"/>
      <c r="O249" s="83"/>
      <c r="P249" s="83"/>
      <c r="Q249" s="83"/>
      <c r="R249" s="83"/>
      <c r="S249" s="83"/>
      <c r="T249" s="83"/>
      <c r="U249" s="83"/>
      <c r="V249" s="83"/>
      <c r="W249" s="83"/>
      <c r="X249" s="83"/>
      <c r="Y249" s="83"/>
      <c r="Z249" s="83"/>
      <c r="AA249" s="83"/>
      <c r="AB249" s="83"/>
      <c r="AC249" s="83"/>
      <c r="AD249" s="83"/>
      <c r="AE249" s="83"/>
      <c r="AF249" s="83"/>
      <c r="AG249" s="83"/>
      <c r="AH249" s="83"/>
      <c r="AI249" s="83"/>
      <c r="AJ249" s="83"/>
      <c r="AK249" s="83"/>
      <c r="AL249" s="83"/>
      <c r="AM249" s="83"/>
      <c r="AN249" s="83"/>
      <c r="AO249" s="83"/>
      <c r="AP249" s="83"/>
      <c r="AQ249" s="83"/>
      <c r="AR249" s="83"/>
      <c r="AS249" s="83"/>
    </row>
  </sheetData>
  <sheetProtection algorithmName="SHA-512" hashValue="uAd4tbsBzxVp/EODWFQHJbVZUzJPatUl6rMgA/BQIzMV79GfhOJh4akbyZC5hJ6JvTa1xnE4o0TR9VHm/gk0Og==" saltValue="ZNmVC4sbCqtPiS6QZU64kA==" spinCount="100000" sheet="1" objects="1" scenarios="1"/>
  <mergeCells count="11">
    <mergeCell ref="E3:Q3"/>
    <mergeCell ref="F14:K14"/>
    <mergeCell ref="F15:K15"/>
    <mergeCell ref="F16:K16"/>
    <mergeCell ref="F19:H19"/>
    <mergeCell ref="E18:K18"/>
    <mergeCell ref="F173:I173"/>
    <mergeCell ref="F129:G129"/>
    <mergeCell ref="F128:I128"/>
    <mergeCell ref="F140:I140"/>
    <mergeCell ref="G44:O44"/>
  </mergeCells>
  <phoneticPr fontId="50" type="noConversion"/>
  <conditionalFormatting sqref="G82">
    <cfRule type="cellIs" dxfId="2" priority="5" operator="notEqual">
      <formula>1</formula>
    </cfRule>
  </conditionalFormatting>
  <conditionalFormatting sqref="G21:G27">
    <cfRule type="expression" dxfId="1" priority="1">
      <formula>$J$11=1</formula>
    </cfRule>
  </conditionalFormatting>
  <dataValidations count="6">
    <dataValidation type="whole" errorStyle="warning" operator="equal" allowBlank="1" showInputMessage="1" showErrorMessage="1" errorTitle="Warning" error="Note that this value differs from the expected value (600 mg), but can still be selected without interference with the model calculations." sqref="F48" xr:uid="{44766625-0CC1-4B06-94B3-42F2DAB6B0B1}">
      <formula1>600</formula1>
    </dataValidation>
    <dataValidation allowBlank="1" showInputMessage="1" showErrorMessage="1" error="jsjs" sqref="F34" xr:uid="{6545A27E-C4FA-417F-A19C-CD53A12D63D6}"/>
    <dataValidation errorStyle="warning" allowBlank="1" showInputMessage="1" showErrorMessage="1" error="Note that this value differs from the options in the dropdown menu (1000 mg and 1500 mg), but can still be selected without interference with the model calculations." sqref="F41:H41 H42" xr:uid="{AC0BD157-655D-49E3-8E03-C0CA68088D18}"/>
    <dataValidation type="whole" allowBlank="1" showInputMessage="1" showErrorMessage="1" errorTitle="Not a valid entry" error="Please select a value between 1 and 14 days_x000a_" sqref="F44" xr:uid="{74A0FBBB-E433-4B65-8450-43D3F10CC430}">
      <formula1>1</formula1>
      <formula2>14</formula2>
    </dataValidation>
    <dataValidation type="whole" allowBlank="1" showInputMessage="1" showErrorMessage="1" error="Please select a value between 1 and 14" sqref="J53 J47:J51" xr:uid="{A0EF4416-9154-4E0F-B1C6-A63688CA5BDE}">
      <formula1>1</formula1>
      <formula2>14</formula2>
    </dataValidation>
    <dataValidation errorStyle="warning" allowBlank="1" showInputMessage="1" showErrorMessage="1" errorTitle="Warning" error="Note that this value differs from the options in the dropdown menu (1000 mg or 2000 mg), but can still be selected without interference with the model calculations." sqref="F51" xr:uid="{615BE6E7-4249-43DA-8FEB-B80E22BF31FF}"/>
  </dataValidations>
  <pageMargins left="0.7" right="0.7" top="0.75" bottom="0.75" header="0.3" footer="0.3"/>
  <pageSetup orientation="portrait" r:id="rId1"/>
  <ignoredErrors>
    <ignoredError sqref="J10:J11 G124 E92:E97 E116 E131:E136 E142:E147 E175:E180 E109:E11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68610" r:id="rId4" name="Drop Down 2">
              <controlPr locked="0" defaultSize="0" autoLine="0" autoPict="0">
                <anchor moveWithCells="1">
                  <from>
                    <xdr:col>5</xdr:col>
                    <xdr:colOff>365760</xdr:colOff>
                    <xdr:row>8</xdr:row>
                    <xdr:rowOff>121920</xdr:rowOff>
                  </from>
                  <to>
                    <xdr:col>8</xdr:col>
                    <xdr:colOff>640080</xdr:colOff>
                    <xdr:row>10</xdr:row>
                    <xdr:rowOff>91440</xdr:rowOff>
                  </to>
                </anchor>
              </controlPr>
            </control>
          </mc:Choice>
        </mc:AlternateContent>
        <mc:AlternateContent xmlns:mc="http://schemas.openxmlformats.org/markup-compatibility/2006">
          <mc:Choice Requires="x14">
            <control shapeId="68612" r:id="rId5" name="Drop Down 4">
              <controlPr defaultSize="0" autoLine="0" autoPict="0">
                <anchor moveWithCells="1">
                  <from>
                    <xdr:col>5</xdr:col>
                    <xdr:colOff>327660</xdr:colOff>
                    <xdr:row>28</xdr:row>
                    <xdr:rowOff>152400</xdr:rowOff>
                  </from>
                  <to>
                    <xdr:col>8</xdr:col>
                    <xdr:colOff>617220</xdr:colOff>
                    <xdr:row>30</xdr:row>
                    <xdr:rowOff>121920</xdr:rowOff>
                  </to>
                </anchor>
              </controlPr>
            </control>
          </mc:Choice>
        </mc:AlternateContent>
        <mc:AlternateContent xmlns:mc="http://schemas.openxmlformats.org/markup-compatibility/2006">
          <mc:Choice Requires="x14">
            <control shapeId="68614" r:id="rId6" name="Drop Down 6">
              <controlPr defaultSize="0" autoLine="0" autoPict="0">
                <anchor moveWithCells="1">
                  <from>
                    <xdr:col>4</xdr:col>
                    <xdr:colOff>2514600</xdr:colOff>
                    <xdr:row>73</xdr:row>
                    <xdr:rowOff>53340</xdr:rowOff>
                  </from>
                  <to>
                    <xdr:col>7</xdr:col>
                    <xdr:colOff>655320</xdr:colOff>
                    <xdr:row>74</xdr:row>
                    <xdr:rowOff>205740</xdr:rowOff>
                  </to>
                </anchor>
              </controlPr>
            </control>
          </mc:Choice>
        </mc:AlternateContent>
        <mc:AlternateContent xmlns:mc="http://schemas.openxmlformats.org/markup-compatibility/2006">
          <mc:Choice Requires="x14">
            <control shapeId="68616" r:id="rId7" name="Drop Down 8">
              <controlPr defaultSize="0" autoLine="0" autoPict="0">
                <anchor moveWithCells="1">
                  <from>
                    <xdr:col>5</xdr:col>
                    <xdr:colOff>739140</xdr:colOff>
                    <xdr:row>118</xdr:row>
                    <xdr:rowOff>68580</xdr:rowOff>
                  </from>
                  <to>
                    <xdr:col>9</xdr:col>
                    <xdr:colOff>76200</xdr:colOff>
                    <xdr:row>119</xdr:row>
                    <xdr:rowOff>213360</xdr:rowOff>
                  </to>
                </anchor>
              </controlPr>
            </control>
          </mc:Choice>
        </mc:AlternateContent>
        <mc:AlternateContent xmlns:mc="http://schemas.openxmlformats.org/markup-compatibility/2006">
          <mc:Choice Requires="x14">
            <control shapeId="68617" r:id="rId8" name="Drop Down 9">
              <controlPr defaultSize="0" autoLine="0" autoPict="0">
                <anchor moveWithCells="1">
                  <from>
                    <xdr:col>4</xdr:col>
                    <xdr:colOff>2583180</xdr:colOff>
                    <xdr:row>169</xdr:row>
                    <xdr:rowOff>15240</xdr:rowOff>
                  </from>
                  <to>
                    <xdr:col>7</xdr:col>
                    <xdr:colOff>723900</xdr:colOff>
                    <xdr:row>170</xdr:row>
                    <xdr:rowOff>182880</xdr:rowOff>
                  </to>
                </anchor>
              </controlPr>
            </control>
          </mc:Choice>
        </mc:AlternateContent>
        <mc:AlternateContent xmlns:mc="http://schemas.openxmlformats.org/markup-compatibility/2006">
          <mc:Choice Requires="x14">
            <control shapeId="68619" r:id="rId9" name="Drop Down 11">
              <controlPr defaultSize="0" autoLine="0" autoPict="0">
                <anchor moveWithCells="1">
                  <from>
                    <xdr:col>5</xdr:col>
                    <xdr:colOff>708660</xdr:colOff>
                    <xdr:row>99</xdr:row>
                    <xdr:rowOff>45720</xdr:rowOff>
                  </from>
                  <to>
                    <xdr:col>9</xdr:col>
                    <xdr:colOff>38100</xdr:colOff>
                    <xdr:row>100</xdr:row>
                    <xdr:rowOff>182880</xdr:rowOff>
                  </to>
                </anchor>
              </controlPr>
            </control>
          </mc:Choice>
        </mc:AlternateContent>
        <mc:AlternateContent xmlns:mc="http://schemas.openxmlformats.org/markup-compatibility/2006">
          <mc:Choice Requires="x14">
            <control shapeId="68622" r:id="rId10" name="Check Box 14">
              <controlPr defaultSize="0" autoFill="0" autoLine="0" autoPict="0">
                <anchor moveWithCells="1">
                  <from>
                    <xdr:col>4</xdr:col>
                    <xdr:colOff>1188720</xdr:colOff>
                    <xdr:row>90</xdr:row>
                    <xdr:rowOff>144780</xdr:rowOff>
                  </from>
                  <to>
                    <xdr:col>4</xdr:col>
                    <xdr:colOff>2057400</xdr:colOff>
                    <xdr:row>92</xdr:row>
                    <xdr:rowOff>38100</xdr:rowOff>
                  </to>
                </anchor>
              </controlPr>
            </control>
          </mc:Choice>
        </mc:AlternateContent>
        <mc:AlternateContent xmlns:mc="http://schemas.openxmlformats.org/markup-compatibility/2006">
          <mc:Choice Requires="x14">
            <control shapeId="68623" r:id="rId11" name="Check Box 15">
              <controlPr defaultSize="0" autoFill="0" autoLine="0" autoPict="0">
                <anchor moveWithCells="1">
                  <from>
                    <xdr:col>4</xdr:col>
                    <xdr:colOff>1188720</xdr:colOff>
                    <xdr:row>91</xdr:row>
                    <xdr:rowOff>144780</xdr:rowOff>
                  </from>
                  <to>
                    <xdr:col>4</xdr:col>
                    <xdr:colOff>2057400</xdr:colOff>
                    <xdr:row>93</xdr:row>
                    <xdr:rowOff>38100</xdr:rowOff>
                  </to>
                </anchor>
              </controlPr>
            </control>
          </mc:Choice>
        </mc:AlternateContent>
        <mc:AlternateContent xmlns:mc="http://schemas.openxmlformats.org/markup-compatibility/2006">
          <mc:Choice Requires="x14">
            <control shapeId="68625" r:id="rId12" name="Check Box 17">
              <controlPr defaultSize="0" autoFill="0" autoLine="0" autoPict="0">
                <anchor moveWithCells="1">
                  <from>
                    <xdr:col>4</xdr:col>
                    <xdr:colOff>1188720</xdr:colOff>
                    <xdr:row>92</xdr:row>
                    <xdr:rowOff>152400</xdr:rowOff>
                  </from>
                  <to>
                    <xdr:col>4</xdr:col>
                    <xdr:colOff>2057400</xdr:colOff>
                    <xdr:row>94</xdr:row>
                    <xdr:rowOff>45720</xdr:rowOff>
                  </to>
                </anchor>
              </controlPr>
            </control>
          </mc:Choice>
        </mc:AlternateContent>
        <mc:AlternateContent xmlns:mc="http://schemas.openxmlformats.org/markup-compatibility/2006">
          <mc:Choice Requires="x14">
            <control shapeId="68626" r:id="rId13" name="Check Box 18">
              <controlPr defaultSize="0" autoFill="0" autoLine="0" autoPict="0">
                <anchor moveWithCells="1">
                  <from>
                    <xdr:col>4</xdr:col>
                    <xdr:colOff>1188720</xdr:colOff>
                    <xdr:row>93</xdr:row>
                    <xdr:rowOff>152400</xdr:rowOff>
                  </from>
                  <to>
                    <xdr:col>4</xdr:col>
                    <xdr:colOff>2057400</xdr:colOff>
                    <xdr:row>95</xdr:row>
                    <xdr:rowOff>45720</xdr:rowOff>
                  </to>
                </anchor>
              </controlPr>
            </control>
          </mc:Choice>
        </mc:AlternateContent>
        <mc:AlternateContent xmlns:mc="http://schemas.openxmlformats.org/markup-compatibility/2006">
          <mc:Choice Requires="x14">
            <control shapeId="68627" r:id="rId14" name="Check Box 19">
              <controlPr defaultSize="0" autoFill="0" autoLine="0" autoPict="0">
                <anchor moveWithCells="1">
                  <from>
                    <xdr:col>4</xdr:col>
                    <xdr:colOff>1188720</xdr:colOff>
                    <xdr:row>94</xdr:row>
                    <xdr:rowOff>160020</xdr:rowOff>
                  </from>
                  <to>
                    <xdr:col>4</xdr:col>
                    <xdr:colOff>2057400</xdr:colOff>
                    <xdr:row>96</xdr:row>
                    <xdr:rowOff>53340</xdr:rowOff>
                  </to>
                </anchor>
              </controlPr>
            </control>
          </mc:Choice>
        </mc:AlternateContent>
        <mc:AlternateContent xmlns:mc="http://schemas.openxmlformats.org/markup-compatibility/2006">
          <mc:Choice Requires="x14">
            <control shapeId="68629" r:id="rId15" name="Check Box 21">
              <controlPr defaultSize="0" autoFill="0" autoLine="0" autoPict="0">
                <anchor moveWithCells="1">
                  <from>
                    <xdr:col>4</xdr:col>
                    <xdr:colOff>1188720</xdr:colOff>
                    <xdr:row>95</xdr:row>
                    <xdr:rowOff>160020</xdr:rowOff>
                  </from>
                  <to>
                    <xdr:col>4</xdr:col>
                    <xdr:colOff>2057400</xdr:colOff>
                    <xdr:row>97</xdr:row>
                    <xdr:rowOff>53340</xdr:rowOff>
                  </to>
                </anchor>
              </controlPr>
            </control>
          </mc:Choice>
        </mc:AlternateContent>
        <mc:AlternateContent xmlns:mc="http://schemas.openxmlformats.org/markup-compatibility/2006">
          <mc:Choice Requires="x14">
            <control shapeId="68630" r:id="rId16" name="Drop Down 22">
              <controlPr defaultSize="0" autoLine="0" autoPict="0">
                <anchor moveWithCells="1">
                  <from>
                    <xdr:col>4</xdr:col>
                    <xdr:colOff>2362200</xdr:colOff>
                    <xdr:row>36</xdr:row>
                    <xdr:rowOff>0</xdr:rowOff>
                  </from>
                  <to>
                    <xdr:col>8</xdr:col>
                    <xdr:colOff>160020</xdr:colOff>
                    <xdr:row>37</xdr:row>
                    <xdr:rowOff>68580</xdr:rowOff>
                  </to>
                </anchor>
              </controlPr>
            </control>
          </mc:Choice>
        </mc:AlternateContent>
        <mc:AlternateContent xmlns:mc="http://schemas.openxmlformats.org/markup-compatibility/2006">
          <mc:Choice Requires="x14">
            <control shapeId="68634" r:id="rId17" name="Drop Down 26">
              <controlPr defaultSize="0" autoLine="0" autoPict="0">
                <anchor moveWithCells="1">
                  <from>
                    <xdr:col>5</xdr:col>
                    <xdr:colOff>906780</xdr:colOff>
                    <xdr:row>150</xdr:row>
                    <xdr:rowOff>45720</xdr:rowOff>
                  </from>
                  <to>
                    <xdr:col>9</xdr:col>
                    <xdr:colOff>251460</xdr:colOff>
                    <xdr:row>151</xdr:row>
                    <xdr:rowOff>198120</xdr:rowOff>
                  </to>
                </anchor>
              </controlPr>
            </control>
          </mc:Choice>
        </mc:AlternateContent>
        <mc:AlternateContent xmlns:mc="http://schemas.openxmlformats.org/markup-compatibility/2006">
          <mc:Choice Requires="x14">
            <control shapeId="68646" r:id="rId18" name="Check Box 38">
              <controlPr defaultSize="0" autoFill="0" autoLine="0" autoPict="0">
                <anchor moveWithCells="1">
                  <from>
                    <xdr:col>4</xdr:col>
                    <xdr:colOff>1188720</xdr:colOff>
                    <xdr:row>96</xdr:row>
                    <xdr:rowOff>160020</xdr:rowOff>
                  </from>
                  <to>
                    <xdr:col>4</xdr:col>
                    <xdr:colOff>2057400</xdr:colOff>
                    <xdr:row>98</xdr:row>
                    <xdr:rowOff>45720</xdr:rowOff>
                  </to>
                </anchor>
              </controlPr>
            </control>
          </mc:Choice>
        </mc:AlternateContent>
        <mc:AlternateContent xmlns:mc="http://schemas.openxmlformats.org/markup-compatibility/2006">
          <mc:Choice Requires="x14">
            <control shapeId="68647" r:id="rId19" name="Check Box 39">
              <controlPr defaultSize="0" autoFill="0" autoLine="0" autoPict="0">
                <anchor moveWithCells="1">
                  <from>
                    <xdr:col>4</xdr:col>
                    <xdr:colOff>1188720</xdr:colOff>
                    <xdr:row>96</xdr:row>
                    <xdr:rowOff>160020</xdr:rowOff>
                  </from>
                  <to>
                    <xdr:col>4</xdr:col>
                    <xdr:colOff>2057400</xdr:colOff>
                    <xdr:row>98</xdr:row>
                    <xdr:rowOff>45720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Warning" error="Note that this value differs from the options in the dropdown menu (1000 mg, 2000 mg, and 3000 mg), but can still be selected without interference with the model calculations." xr:uid="{D46B7958-52CD-401D-9D6F-688BE021A2ED}">
          <x14:formula1>
            <xm:f>List!$B$20:$B$22</xm:f>
          </x14:formula1>
          <xm:sqref>F47</xm:sqref>
        </x14:dataValidation>
        <x14:dataValidation type="list" errorStyle="warning" allowBlank="1" showInputMessage="1" showErrorMessage="1" errorTitle="Warning" error="Note that this value differs from the options in the dropdown menu (1000 mg or 2000 mg), but can still be selected without interference with the model calculations." xr:uid="{B5A787D3-135A-4127-A4D3-1CE61BCB2C2A}">
          <x14:formula1>
            <xm:f>List!$B$20:$B$21</xm:f>
          </x14:formula1>
          <xm:sqref>F50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4DED5-2946-4885-BC97-20253E35A08F}">
  <sheetPr codeName="Sheet8">
    <tabColor theme="3"/>
  </sheetPr>
  <dimension ref="A1:AU75"/>
  <sheetViews>
    <sheetView topLeftCell="A24" zoomScale="78" zoomScaleNormal="100" workbookViewId="0">
      <selection activeCell="F24" sqref="F24"/>
    </sheetView>
  </sheetViews>
  <sheetFormatPr defaultColWidth="8.88671875" defaultRowHeight="14.4" x14ac:dyDescent="0.3"/>
  <cols>
    <col min="1" max="2" width="9.44140625" style="81" customWidth="1"/>
    <col min="3" max="3" width="9.88671875" style="81" customWidth="1"/>
    <col min="4" max="4" width="8.88671875" style="81"/>
    <col min="5" max="5" width="46.5546875" style="81" customWidth="1"/>
    <col min="6" max="12" width="14" style="81" customWidth="1"/>
    <col min="13" max="13" width="12.44140625" style="81" bestFit="1" customWidth="1"/>
    <col min="14" max="14" width="12.44140625" style="81" customWidth="1"/>
    <col min="15" max="15" width="10.88671875" style="81" customWidth="1"/>
    <col min="16" max="19" width="8.88671875" style="81"/>
    <col min="20" max="20" width="12" style="81" bestFit="1" customWidth="1"/>
    <col min="21" max="16384" width="8.88671875" style="81"/>
  </cols>
  <sheetData>
    <row r="1" spans="1:47" x14ac:dyDescent="0.3">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c r="AT1" s="80"/>
    </row>
    <row r="2" spans="1:47" ht="32.4" customHeight="1" x14ac:dyDescent="0.3">
      <c r="A2" s="80"/>
      <c r="B2" s="80"/>
      <c r="C2" s="80"/>
      <c r="D2" s="80"/>
      <c r="E2" s="3" t="s">
        <v>328</v>
      </c>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c r="AT2" s="80"/>
    </row>
    <row r="3" spans="1:47" ht="40.950000000000003" customHeight="1" x14ac:dyDescent="0.3">
      <c r="A3" s="80"/>
      <c r="B3" s="80"/>
      <c r="C3" s="80"/>
      <c r="D3" s="80"/>
      <c r="E3" s="188" t="s">
        <v>332</v>
      </c>
      <c r="F3" s="188"/>
      <c r="G3" s="188"/>
      <c r="H3" s="188"/>
      <c r="I3" s="188"/>
      <c r="J3" s="188"/>
      <c r="K3" s="188"/>
      <c r="L3" s="188"/>
      <c r="M3" s="188"/>
      <c r="N3" s="188"/>
      <c r="O3" s="188"/>
      <c r="P3" s="188"/>
      <c r="Q3" s="188"/>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row>
    <row r="4" spans="1:47" x14ac:dyDescent="0.3">
      <c r="A4" s="80"/>
      <c r="B4" s="80"/>
      <c r="C4" s="80"/>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c r="AT4" s="83"/>
    </row>
    <row r="5" spans="1:47" ht="17.100000000000001" customHeight="1" x14ac:dyDescent="0.3">
      <c r="A5" s="80"/>
      <c r="B5" s="80"/>
      <c r="C5" s="80"/>
      <c r="D5" s="83"/>
      <c r="E5" s="84"/>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c r="AT5" s="83"/>
    </row>
    <row r="6" spans="1:47" x14ac:dyDescent="0.3">
      <c r="A6" s="80"/>
      <c r="B6" s="80"/>
      <c r="C6" s="80"/>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83"/>
      <c r="AH6" s="83"/>
      <c r="AI6" s="83"/>
      <c r="AJ6" s="83"/>
      <c r="AK6" s="83"/>
      <c r="AL6" s="83"/>
      <c r="AM6" s="83"/>
      <c r="AN6" s="83"/>
      <c r="AO6" s="83"/>
      <c r="AP6" s="83"/>
      <c r="AQ6" s="83"/>
      <c r="AR6" s="83"/>
      <c r="AS6" s="83"/>
      <c r="AT6" s="83"/>
    </row>
    <row r="7" spans="1:47" x14ac:dyDescent="0.3">
      <c r="A7" s="80"/>
      <c r="B7" s="80"/>
      <c r="C7" s="80"/>
      <c r="D7" s="83"/>
      <c r="E7" s="83"/>
      <c r="F7" s="83"/>
      <c r="G7" s="83"/>
      <c r="H7" s="83"/>
      <c r="I7" s="83"/>
      <c r="J7" s="83"/>
      <c r="K7" s="83"/>
      <c r="L7" s="83"/>
      <c r="M7" s="83"/>
      <c r="N7" s="83"/>
      <c r="O7" s="83"/>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c r="AT7" s="83"/>
    </row>
    <row r="8" spans="1:47" ht="18.600000000000001" thickBot="1" x14ac:dyDescent="0.4">
      <c r="A8" s="80"/>
      <c r="B8" s="80"/>
      <c r="C8" s="80"/>
      <c r="D8" s="83"/>
      <c r="E8" s="85" t="s">
        <v>166</v>
      </c>
      <c r="F8" s="86"/>
      <c r="G8" s="86"/>
      <c r="H8" s="86"/>
      <c r="I8" s="86"/>
      <c r="J8" s="86"/>
      <c r="K8" s="86"/>
      <c r="L8" s="86"/>
      <c r="M8" s="86"/>
      <c r="N8" s="86"/>
      <c r="O8" s="86"/>
      <c r="P8" s="86"/>
      <c r="Q8" s="86"/>
      <c r="R8" s="86"/>
      <c r="S8" s="86"/>
      <c r="T8" s="86"/>
      <c r="U8" s="86"/>
      <c r="V8" s="86"/>
      <c r="W8" s="86"/>
      <c r="X8" s="86"/>
      <c r="Y8" s="86"/>
      <c r="Z8" s="86"/>
      <c r="AA8" s="86"/>
      <c r="AB8" s="86"/>
      <c r="AC8" s="86"/>
      <c r="AD8" s="86"/>
      <c r="AE8" s="86"/>
      <c r="AF8" s="86"/>
      <c r="AG8" s="86"/>
      <c r="AH8" s="86"/>
      <c r="AI8" s="86"/>
      <c r="AJ8" s="86"/>
      <c r="AK8" s="86"/>
      <c r="AL8" s="86"/>
      <c r="AM8" s="86"/>
      <c r="AN8" s="86"/>
      <c r="AO8" s="86"/>
      <c r="AP8" s="86"/>
      <c r="AQ8" s="86"/>
      <c r="AR8" s="86"/>
      <c r="AS8" s="86"/>
      <c r="AT8" s="86"/>
    </row>
    <row r="9" spans="1:47" x14ac:dyDescent="0.3">
      <c r="A9" s="80"/>
      <c r="B9" s="80"/>
      <c r="C9" s="80"/>
      <c r="D9" s="83"/>
      <c r="E9" s="83"/>
      <c r="F9" s="83"/>
      <c r="G9" s="83"/>
      <c r="H9" s="83"/>
      <c r="I9" s="83"/>
      <c r="J9" s="83"/>
      <c r="K9" s="83"/>
      <c r="L9" s="83"/>
      <c r="M9" s="83"/>
      <c r="N9" s="83"/>
      <c r="O9" s="83"/>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c r="AT9" s="83"/>
    </row>
    <row r="10" spans="1:47" ht="15" customHeight="1" x14ac:dyDescent="0.3">
      <c r="A10" s="80"/>
      <c r="B10" s="80"/>
      <c r="C10" s="80"/>
      <c r="D10" s="84"/>
      <c r="E10" s="84"/>
      <c r="F10" s="84"/>
      <c r="G10" s="84"/>
      <c r="H10" s="84"/>
      <c r="I10" s="84"/>
      <c r="J10" s="84"/>
      <c r="K10" s="84"/>
      <c r="L10" s="84"/>
      <c r="M10" s="84"/>
      <c r="N10" s="84"/>
      <c r="O10" s="84"/>
      <c r="P10" s="84"/>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c r="AT10" s="83"/>
    </row>
    <row r="11" spans="1:47" ht="15" customHeight="1" x14ac:dyDescent="0.3">
      <c r="A11" s="80"/>
      <c r="B11" s="80"/>
      <c r="C11" s="80"/>
      <c r="D11" s="83"/>
      <c r="E11" s="84" t="s">
        <v>167</v>
      </c>
      <c r="F11" s="73">
        <v>1</v>
      </c>
      <c r="G11" s="84"/>
      <c r="H11" s="84"/>
      <c r="I11" s="84"/>
      <c r="J11" s="84"/>
      <c r="K11" s="84"/>
      <c r="L11" s="84"/>
      <c r="M11" s="84"/>
      <c r="N11" s="84"/>
      <c r="O11" s="84"/>
      <c r="P11" s="84"/>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c r="AT11" s="83"/>
    </row>
    <row r="12" spans="1:47" ht="58.8" x14ac:dyDescent="0.4">
      <c r="A12" s="80"/>
      <c r="B12" s="80"/>
      <c r="C12" s="80"/>
      <c r="D12" s="83"/>
      <c r="E12" s="141" t="s">
        <v>168</v>
      </c>
      <c r="F12" s="98" t="s">
        <v>169</v>
      </c>
      <c r="G12" s="98" t="s">
        <v>170</v>
      </c>
      <c r="H12" s="98" t="s">
        <v>171</v>
      </c>
      <c r="I12" s="99" t="s">
        <v>172</v>
      </c>
      <c r="J12" s="98" t="s">
        <v>173</v>
      </c>
      <c r="K12" s="98" t="s">
        <v>174</v>
      </c>
      <c r="L12" s="98" t="s">
        <v>175</v>
      </c>
      <c r="M12" s="98" t="s">
        <v>176</v>
      </c>
      <c r="N12" s="98" t="s">
        <v>282</v>
      </c>
      <c r="O12" s="83"/>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c r="AT12" s="83"/>
      <c r="AU12" s="83"/>
    </row>
    <row r="13" spans="1:47" x14ac:dyDescent="0.3">
      <c r="A13" s="80"/>
      <c r="B13" s="80"/>
      <c r="C13" s="80"/>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c r="AT13" s="83"/>
      <c r="AU13" s="83"/>
    </row>
    <row r="14" spans="1:47" x14ac:dyDescent="0.3">
      <c r="A14" s="80"/>
      <c r="B14" s="80"/>
      <c r="C14" s="80"/>
      <c r="D14" s="83"/>
      <c r="E14" s="83" t="str">
        <f>'Cost calculator'!E21</f>
        <v>Xydalba IV</v>
      </c>
      <c r="F14" s="127">
        <f>'Cost calculator'!F42</f>
        <v>0</v>
      </c>
      <c r="G14" s="127">
        <v>0</v>
      </c>
      <c r="H14" s="127">
        <f>IF(List!G10,'Cost calculator'!G$87,0)</f>
        <v>0</v>
      </c>
      <c r="I14" s="127">
        <f>'Cost calculator'!G109</f>
        <v>0</v>
      </c>
      <c r="J14" s="127">
        <f>'Cost calculator'!I142</f>
        <v>0</v>
      </c>
      <c r="K14" s="127">
        <f>'Cost calculator'!N175</f>
        <v>0</v>
      </c>
      <c r="L14" s="135">
        <f>SUM(F14:K14)</f>
        <v>0</v>
      </c>
      <c r="M14" s="135">
        <f>L14*F$11</f>
        <v>0</v>
      </c>
      <c r="N14" s="135"/>
      <c r="O14" s="83"/>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c r="AT14" s="83"/>
      <c r="AU14" s="83"/>
    </row>
    <row r="15" spans="1:47" x14ac:dyDescent="0.3">
      <c r="A15" s="80"/>
      <c r="B15" s="80"/>
      <c r="C15" s="80"/>
      <c r="D15" s="83"/>
      <c r="E15" s="83" t="str">
        <f>'Cost calculator'!E22</f>
        <v>Vancomycin IV</v>
      </c>
      <c r="F15" s="127">
        <f>'Cost calculator'!L47</f>
        <v>180.29759999999999</v>
      </c>
      <c r="G15" s="127">
        <f>'Cost calculator'!H61</f>
        <v>0</v>
      </c>
      <c r="H15" s="127">
        <f>IF(List!G11,'Cost calculator'!G$87,0)</f>
        <v>337.42502017654203</v>
      </c>
      <c r="I15" s="127">
        <f>'Cost calculator'!G110</f>
        <v>36385.12079999999</v>
      </c>
      <c r="J15" s="127">
        <f>'Cost calculator'!I143</f>
        <v>113.44141568938487</v>
      </c>
      <c r="K15" s="127">
        <f>'Cost calculator'!N176</f>
        <v>63.166510219530657</v>
      </c>
      <c r="L15" s="135">
        <f t="shared" ref="L15:L19" si="0">SUM(F15:K15)</f>
        <v>37079.45134608545</v>
      </c>
      <c r="M15" s="135">
        <f t="shared" ref="M15:M19" si="1">L15*F$11</f>
        <v>37079.45134608545</v>
      </c>
      <c r="N15" s="135">
        <f>$M$14-M15</f>
        <v>-37079.45134608545</v>
      </c>
      <c r="O15" s="83"/>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c r="AT15" s="83"/>
      <c r="AU15" s="83"/>
    </row>
    <row r="16" spans="1:47" x14ac:dyDescent="0.3">
      <c r="A16" s="80"/>
      <c r="B16" s="80"/>
      <c r="C16" s="80"/>
      <c r="D16" s="83"/>
      <c r="E16" s="83" t="str">
        <f>'Cost calculator'!E23</f>
        <v>Linezolid IV</v>
      </c>
      <c r="F16" s="127">
        <f>'Cost calculator'!L48</f>
        <v>1242.3600000000001</v>
      </c>
      <c r="G16" s="127">
        <f>'Cost calculator'!H62</f>
        <v>30.222012799999995</v>
      </c>
      <c r="H16" s="127">
        <f>IF(List!G12,'Cost calculator'!G$87,0)</f>
        <v>337.42502017654203</v>
      </c>
      <c r="I16" s="127">
        <f>'Cost calculator'!G111</f>
        <v>36385.12079999999</v>
      </c>
      <c r="J16" s="127">
        <f>'Cost calculator'!I144</f>
        <v>88.811039709970601</v>
      </c>
      <c r="K16" s="127">
        <f>'Cost calculator'!N177</f>
        <v>20.211506434519301</v>
      </c>
      <c r="L16" s="135">
        <f t="shared" si="0"/>
        <v>38104.150379121027</v>
      </c>
      <c r="M16" s="135">
        <f t="shared" si="1"/>
        <v>38104.150379121027</v>
      </c>
      <c r="N16" s="135">
        <f t="shared" ref="N16:N19" si="2">$M$14-M16</f>
        <v>-38104.150379121027</v>
      </c>
      <c r="O16" s="83"/>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c r="AT16" s="83"/>
      <c r="AU16" s="83"/>
    </row>
    <row r="17" spans="1:47" x14ac:dyDescent="0.3">
      <c r="A17" s="80"/>
      <c r="B17" s="80"/>
      <c r="C17" s="80"/>
      <c r="D17" s="83"/>
      <c r="E17" s="83" t="str">
        <f>'Cost calculator'!E24</f>
        <v>Daptomycin</v>
      </c>
      <c r="F17" s="127">
        <f>'Cost calculator'!L53</f>
        <v>1036.4423999999999</v>
      </c>
      <c r="G17" s="127">
        <f>'Cost calculator'!H66</f>
        <v>30.222012799999995</v>
      </c>
      <c r="H17" s="127">
        <f>IF(List!G13,'Cost calculator'!G$87,0)</f>
        <v>337.42502017654203</v>
      </c>
      <c r="I17" s="127">
        <f>'Cost calculator'!G112</f>
        <v>36385.12079999999</v>
      </c>
      <c r="J17" s="127">
        <f>'Cost calculator'!I145</f>
        <v>77.233870085400042</v>
      </c>
      <c r="K17" s="127">
        <f>'Cost calculator'!N178</f>
        <v>30.783679031037089</v>
      </c>
      <c r="L17" s="135">
        <f t="shared" si="0"/>
        <v>37897.227782092974</v>
      </c>
      <c r="M17" s="135">
        <f t="shared" si="1"/>
        <v>37897.227782092974</v>
      </c>
      <c r="N17" s="135">
        <f t="shared" si="2"/>
        <v>-37897.227782092974</v>
      </c>
      <c r="O17" s="83"/>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c r="AT17" s="83"/>
      <c r="AU17" s="83"/>
    </row>
    <row r="18" spans="1:47" x14ac:dyDescent="0.3">
      <c r="A18" s="80"/>
      <c r="B18" s="80"/>
      <c r="C18" s="80"/>
      <c r="D18" s="83"/>
      <c r="E18" s="83" t="str">
        <f>'Cost calculator'!E25</f>
        <v>Cefazolin IV</v>
      </c>
      <c r="F18" s="127">
        <f>'Cost calculator'!L49</f>
        <v>126</v>
      </c>
      <c r="G18" s="127">
        <f>'Cost calculator'!H63</f>
        <v>30.222012799999995</v>
      </c>
      <c r="H18" s="127">
        <f>IF(List!G14,'Cost calculator'!G$87,0)</f>
        <v>337.42502017654203</v>
      </c>
      <c r="I18" s="127">
        <f>'Cost calculator'!G113</f>
        <v>36385.12079999999</v>
      </c>
      <c r="J18" s="127">
        <f>'Cost calculator'!I146</f>
        <v>133.63241359410023</v>
      </c>
      <c r="K18" s="127">
        <f>'Cost calculator'!N179</f>
        <v>30.783679031037089</v>
      </c>
      <c r="L18" s="135">
        <f t="shared" si="0"/>
        <v>37043.183925601676</v>
      </c>
      <c r="M18" s="135">
        <f t="shared" si="1"/>
        <v>37043.183925601676</v>
      </c>
      <c r="N18" s="135">
        <f t="shared" si="2"/>
        <v>-37043.183925601676</v>
      </c>
      <c r="O18" s="83"/>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c r="AT18" s="83"/>
      <c r="AU18" s="83"/>
    </row>
    <row r="19" spans="1:47" x14ac:dyDescent="0.3">
      <c r="A19" s="80"/>
      <c r="B19" s="80"/>
      <c r="C19" s="80"/>
      <c r="D19" s="83"/>
      <c r="E19" s="83" t="str">
        <f>'Cost calculator'!E26</f>
        <v>Ceftriaxone IV</v>
      </c>
      <c r="F19" s="127">
        <f>'Cost calculator'!L50</f>
        <v>174.86</v>
      </c>
      <c r="G19" s="127">
        <f>'Cost calculator'!H64</f>
        <v>30.222012799999995</v>
      </c>
      <c r="H19" s="127">
        <f>IF(List!G15,'Cost calculator'!G$87,0)</f>
        <v>337.42502017654203</v>
      </c>
      <c r="I19" s="127">
        <f>'Cost calculator'!G114</f>
        <v>36385.12079999999</v>
      </c>
      <c r="J19" s="127">
        <f>'Cost calculator'!I147</f>
        <v>51.012775303982679</v>
      </c>
      <c r="K19" s="127">
        <f>'Cost calculator'!N180</f>
        <v>42.155427706283113</v>
      </c>
      <c r="L19" s="135">
        <f t="shared" si="0"/>
        <v>37020.796035986801</v>
      </c>
      <c r="M19" s="135">
        <f t="shared" si="1"/>
        <v>37020.796035986801</v>
      </c>
      <c r="N19" s="135">
        <f t="shared" si="2"/>
        <v>-37020.796035986801</v>
      </c>
      <c r="O19" s="83"/>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c r="AT19" s="83"/>
      <c r="AU19" s="83"/>
    </row>
    <row r="20" spans="1:47" x14ac:dyDescent="0.3">
      <c r="A20" s="80"/>
      <c r="B20" s="80"/>
      <c r="C20" s="80"/>
      <c r="D20" s="83"/>
      <c r="E20" s="83" t="str">
        <f>'Cost calculator'!E27</f>
        <v>Other</v>
      </c>
      <c r="F20" s="127">
        <f>'Cost calculator'!L51</f>
        <v>0</v>
      </c>
      <c r="G20" s="127">
        <f>'Cost calculator'!H65</f>
        <v>30.222012799999995</v>
      </c>
      <c r="H20" s="127">
        <f>IF(AND(F20&gt;0,List!G16),'Cost calculator'!G$87,0)</f>
        <v>0</v>
      </c>
      <c r="I20" s="127">
        <f>IF(F20&gt;0,'Cost calculator'!G115,0)</f>
        <v>0</v>
      </c>
      <c r="J20" s="127">
        <f>'Cost calculator'!I148</f>
        <v>0</v>
      </c>
      <c r="K20" s="127">
        <f>'Cost calculator'!N181</f>
        <v>0</v>
      </c>
      <c r="L20" s="135">
        <f t="shared" ref="L20" si="3">SUM(F20:K20)</f>
        <v>30.222012799999995</v>
      </c>
      <c r="M20" s="135">
        <f t="shared" ref="M20" si="4">L20*F$11</f>
        <v>30.222012799999995</v>
      </c>
      <c r="N20" s="135" t="str">
        <f>IF(F20&gt;0,$M$14-M20,"-")</f>
        <v>-</v>
      </c>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c r="AS20" s="83"/>
      <c r="AT20" s="83"/>
      <c r="AU20" s="83"/>
    </row>
    <row r="21" spans="1:47" x14ac:dyDescent="0.3">
      <c r="A21" s="80"/>
      <c r="B21" s="80"/>
      <c r="C21" s="80"/>
      <c r="D21" s="83"/>
      <c r="E21" s="163"/>
      <c r="F21" s="83" t="s">
        <v>283</v>
      </c>
      <c r="G21" s="83"/>
      <c r="H21" s="83"/>
      <c r="I21" s="83"/>
      <c r="J21" s="83"/>
      <c r="K21" s="83"/>
      <c r="L21" s="83"/>
      <c r="M21" s="83"/>
      <c r="N21" s="83"/>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c r="AS21" s="83"/>
      <c r="AT21" s="83"/>
    </row>
    <row r="22" spans="1:47" ht="58.8" x14ac:dyDescent="0.4">
      <c r="A22" s="80"/>
      <c r="B22" s="80"/>
      <c r="C22" s="80"/>
      <c r="D22" s="83"/>
      <c r="E22" s="141" t="s">
        <v>177</v>
      </c>
      <c r="F22" s="98" t="s">
        <v>169</v>
      </c>
      <c r="G22" s="98" t="s">
        <v>170</v>
      </c>
      <c r="H22" s="98" t="s">
        <v>171</v>
      </c>
      <c r="I22" s="99" t="s">
        <v>172</v>
      </c>
      <c r="J22" s="98" t="s">
        <v>173</v>
      </c>
      <c r="K22" s="98" t="s">
        <v>174</v>
      </c>
      <c r="L22" s="98" t="s">
        <v>175</v>
      </c>
      <c r="M22" s="98" t="s">
        <v>176</v>
      </c>
      <c r="N22" s="98" t="s">
        <v>282</v>
      </c>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c r="AS22" s="83"/>
      <c r="AT22" s="83"/>
    </row>
    <row r="23" spans="1:47" x14ac:dyDescent="0.3">
      <c r="A23" s="80"/>
      <c r="B23" s="80"/>
      <c r="C23" s="80"/>
      <c r="D23" s="83"/>
      <c r="E23" s="83"/>
      <c r="F23" s="83"/>
      <c r="G23" s="83"/>
      <c r="H23" s="8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c r="AS23" s="83"/>
      <c r="AT23" s="83"/>
    </row>
    <row r="24" spans="1:47" x14ac:dyDescent="0.3">
      <c r="A24" s="80"/>
      <c r="B24" s="80"/>
      <c r="C24" s="80"/>
      <c r="D24" s="83"/>
      <c r="E24" s="83" t="str">
        <f t="shared" ref="E24:E30" si="5">E14</f>
        <v>Xydalba IV</v>
      </c>
      <c r="F24" s="127">
        <f>'Cost calculator'!G42</f>
        <v>2871.5</v>
      </c>
      <c r="G24" s="127">
        <v>0</v>
      </c>
      <c r="H24" s="127">
        <f>IF(List!G10,'Cost calculator'!G$88,0)</f>
        <v>0</v>
      </c>
      <c r="I24" s="156">
        <v>0</v>
      </c>
      <c r="J24" s="127">
        <f>'Cost calculator'!J160</f>
        <v>0</v>
      </c>
      <c r="K24" s="127">
        <f>'Cost calculator'!O175</f>
        <v>0</v>
      </c>
      <c r="L24" s="135">
        <f>SUM(F24:K24)</f>
        <v>2871.5</v>
      </c>
      <c r="M24" s="135">
        <f t="shared" ref="M24:M29" si="6">L24*F$11</f>
        <v>2871.5</v>
      </c>
      <c r="N24" s="135"/>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c r="AS24" s="83"/>
      <c r="AT24" s="83"/>
    </row>
    <row r="25" spans="1:47" x14ac:dyDescent="0.3">
      <c r="A25" s="80"/>
      <c r="B25" s="80"/>
      <c r="C25" s="80"/>
      <c r="D25" s="83"/>
      <c r="E25" s="83" t="str">
        <f t="shared" si="5"/>
        <v>Vancomycin IV</v>
      </c>
      <c r="F25" s="127">
        <f>'Cost calculator'!M47</f>
        <v>82.636399999999995</v>
      </c>
      <c r="G25" s="127">
        <f>'Cost calculator'!I61</f>
        <v>30.222012799999995</v>
      </c>
      <c r="H25" s="127">
        <f>IF(List!G11,'Cost calculator'!G$88,0)</f>
        <v>0</v>
      </c>
      <c r="I25" s="156">
        <v>0</v>
      </c>
      <c r="J25" s="127">
        <f>'Cost calculator'!J161</f>
        <v>311.66684085510695</v>
      </c>
      <c r="K25" s="127">
        <f>'Cost calculator'!O176</f>
        <v>0</v>
      </c>
      <c r="L25" s="135">
        <f>SUM(F25:K25)</f>
        <v>424.52525365510695</v>
      </c>
      <c r="M25" s="135">
        <f t="shared" si="6"/>
        <v>424.52525365510695</v>
      </c>
      <c r="N25" s="135">
        <f>$M$24-M25</f>
        <v>2446.974746344893</v>
      </c>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c r="AS25" s="83"/>
      <c r="AT25" s="83"/>
    </row>
    <row r="26" spans="1:47" x14ac:dyDescent="0.3">
      <c r="A26" s="80"/>
      <c r="B26" s="80"/>
      <c r="C26" s="80"/>
      <c r="D26" s="83"/>
      <c r="E26" s="83" t="str">
        <f t="shared" si="5"/>
        <v>Linezolid IV</v>
      </c>
      <c r="F26" s="127">
        <f>'Cost calculator'!M48</f>
        <v>0</v>
      </c>
      <c r="G26" s="127">
        <f>'Cost calculator'!I62</f>
        <v>0</v>
      </c>
      <c r="H26" s="127">
        <f>IF(List!G12,'Cost calculator'!G$88,0)</f>
        <v>0</v>
      </c>
      <c r="I26" s="156">
        <v>0</v>
      </c>
      <c r="J26" s="127">
        <f>'Cost calculator'!J162</f>
        <v>0</v>
      </c>
      <c r="K26" s="127">
        <f>'Cost calculator'!O177</f>
        <v>0</v>
      </c>
      <c r="L26" s="135">
        <f t="shared" ref="L26:L29" si="7">SUM(F26:K26)</f>
        <v>0</v>
      </c>
      <c r="M26" s="135">
        <f t="shared" si="6"/>
        <v>0</v>
      </c>
      <c r="N26" s="135">
        <f t="shared" ref="N26:N29" si="8">$M$24-M26</f>
        <v>2871.5</v>
      </c>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c r="AS26" s="83"/>
      <c r="AT26" s="83"/>
    </row>
    <row r="27" spans="1:47" x14ac:dyDescent="0.3">
      <c r="A27" s="80"/>
      <c r="B27" s="80"/>
      <c r="C27" s="80"/>
      <c r="D27" s="83"/>
      <c r="E27" s="83" t="str">
        <f t="shared" si="5"/>
        <v>Daptomycin</v>
      </c>
      <c r="F27" s="127">
        <f>'Cost calculator'!M53</f>
        <v>0</v>
      </c>
      <c r="G27" s="127">
        <f>'Cost calculator'!I66</f>
        <v>0</v>
      </c>
      <c r="H27" s="127">
        <f>IF(List!G13,'Cost calculator'!G$88,0)</f>
        <v>0</v>
      </c>
      <c r="I27" s="156">
        <v>0</v>
      </c>
      <c r="J27" s="127">
        <f>'Cost calculator'!J163</f>
        <v>0</v>
      </c>
      <c r="K27" s="127">
        <f>'Cost calculator'!O178</f>
        <v>0</v>
      </c>
      <c r="L27" s="135">
        <f t="shared" si="7"/>
        <v>0</v>
      </c>
      <c r="M27" s="135">
        <f t="shared" si="6"/>
        <v>0</v>
      </c>
      <c r="N27" s="135">
        <f t="shared" si="8"/>
        <v>2871.5</v>
      </c>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c r="AS27" s="83"/>
      <c r="AT27" s="83"/>
    </row>
    <row r="28" spans="1:47" x14ac:dyDescent="0.3">
      <c r="A28" s="80"/>
      <c r="B28" s="80"/>
      <c r="C28" s="80"/>
      <c r="D28" s="83"/>
      <c r="E28" s="83" t="str">
        <f t="shared" si="5"/>
        <v>Cefazolin IV</v>
      </c>
      <c r="F28" s="127">
        <f>'Cost calculator'!M49</f>
        <v>0</v>
      </c>
      <c r="G28" s="127">
        <f>'Cost calculator'!I63</f>
        <v>0</v>
      </c>
      <c r="H28" s="127">
        <f>IF(List!G14,'Cost calculator'!G$88,0)</f>
        <v>0</v>
      </c>
      <c r="I28" s="156">
        <v>0</v>
      </c>
      <c r="J28" s="127">
        <f>'Cost calculator'!J164</f>
        <v>0</v>
      </c>
      <c r="K28" s="127">
        <f>'Cost calculator'!O179</f>
        <v>0</v>
      </c>
      <c r="L28" s="135">
        <f t="shared" si="7"/>
        <v>0</v>
      </c>
      <c r="M28" s="135">
        <f t="shared" si="6"/>
        <v>0</v>
      </c>
      <c r="N28" s="135">
        <f t="shared" si="8"/>
        <v>2871.5</v>
      </c>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row>
    <row r="29" spans="1:47" x14ac:dyDescent="0.3">
      <c r="A29" s="80"/>
      <c r="B29" s="80"/>
      <c r="C29" s="80"/>
      <c r="D29" s="83"/>
      <c r="E29" s="83" t="str">
        <f t="shared" si="5"/>
        <v>Ceftriaxone IV</v>
      </c>
      <c r="F29" s="127">
        <f>'Cost calculator'!M50</f>
        <v>0</v>
      </c>
      <c r="G29" s="127">
        <f>'Cost calculator'!I64</f>
        <v>0</v>
      </c>
      <c r="H29" s="127">
        <f>IF(List!G15,'Cost calculator'!G$88,0)</f>
        <v>0</v>
      </c>
      <c r="I29" s="156">
        <v>0</v>
      </c>
      <c r="J29" s="127">
        <f>'Cost calculator'!J165</f>
        <v>0</v>
      </c>
      <c r="K29" s="127">
        <f>'Cost calculator'!O180</f>
        <v>0</v>
      </c>
      <c r="L29" s="135">
        <f t="shared" si="7"/>
        <v>0</v>
      </c>
      <c r="M29" s="135">
        <f t="shared" si="6"/>
        <v>0</v>
      </c>
      <c r="N29" s="135">
        <f t="shared" si="8"/>
        <v>2871.5</v>
      </c>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row>
    <row r="30" spans="1:47" x14ac:dyDescent="0.3">
      <c r="A30" s="80"/>
      <c r="B30" s="80"/>
      <c r="C30" s="80"/>
      <c r="D30" s="83"/>
      <c r="E30" s="83" t="str">
        <f t="shared" si="5"/>
        <v>Other</v>
      </c>
      <c r="F30" s="127">
        <f>'Cost calculator'!M51</f>
        <v>0</v>
      </c>
      <c r="G30" s="127">
        <f>IF(F30&gt;0,'Cost calculator'!I65,0)</f>
        <v>0</v>
      </c>
      <c r="H30" s="127">
        <f>IF(List!G16,'Cost calculator'!G$88,0)</f>
        <v>0</v>
      </c>
      <c r="I30" s="156">
        <v>0</v>
      </c>
      <c r="J30" s="127">
        <f>'Cost calculator'!J166</f>
        <v>0</v>
      </c>
      <c r="K30" s="127">
        <f>'Cost calculator'!O181</f>
        <v>0</v>
      </c>
      <c r="L30" s="135">
        <f t="shared" ref="L30" si="9">SUM(F30:K30)</f>
        <v>0</v>
      </c>
      <c r="M30" s="135">
        <f t="shared" ref="M30" si="10">L30*F$11</f>
        <v>0</v>
      </c>
      <c r="N30" s="135" t="str">
        <f>IF(F30&gt;0,$M$24-M30,"-")</f>
        <v>-</v>
      </c>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c r="AT30" s="83"/>
    </row>
    <row r="31" spans="1:47" x14ac:dyDescent="0.3">
      <c r="A31" s="80"/>
      <c r="B31" s="80"/>
      <c r="C31" s="80"/>
      <c r="D31" s="83"/>
      <c r="E31" s="83"/>
      <c r="F31" s="83" t="s">
        <v>283</v>
      </c>
      <c r="G31" s="83"/>
      <c r="H31" s="83"/>
      <c r="I31" s="8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3"/>
      <c r="AN31" s="83"/>
      <c r="AO31" s="83"/>
      <c r="AP31" s="83"/>
      <c r="AQ31" s="83"/>
      <c r="AR31" s="83"/>
      <c r="AS31" s="83"/>
      <c r="AT31" s="83"/>
    </row>
    <row r="32" spans="1:47" ht="58.8" x14ac:dyDescent="0.4">
      <c r="A32" s="80"/>
      <c r="B32" s="80"/>
      <c r="C32" s="80"/>
      <c r="D32" s="83"/>
      <c r="E32" s="141" t="s">
        <v>178</v>
      </c>
      <c r="F32" s="98" t="s">
        <v>169</v>
      </c>
      <c r="G32" s="98" t="s">
        <v>170</v>
      </c>
      <c r="H32" s="98" t="s">
        <v>171</v>
      </c>
      <c r="I32" s="99" t="s">
        <v>172</v>
      </c>
      <c r="J32" s="98" t="s">
        <v>173</v>
      </c>
      <c r="K32" s="98" t="s">
        <v>174</v>
      </c>
      <c r="L32" s="98" t="s">
        <v>175</v>
      </c>
      <c r="M32" s="98" t="s">
        <v>176</v>
      </c>
      <c r="N32" s="98" t="s">
        <v>282</v>
      </c>
      <c r="O32" s="83"/>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c r="AT32" s="83"/>
    </row>
    <row r="33" spans="1:46" x14ac:dyDescent="0.3">
      <c r="A33" s="80"/>
      <c r="B33" s="80"/>
      <c r="C33" s="80"/>
      <c r="D33" s="83"/>
      <c r="E33" s="83"/>
      <c r="F33" s="83"/>
      <c r="G33" s="83"/>
      <c r="H33" s="83"/>
      <c r="I33" s="83"/>
      <c r="J33" s="83"/>
      <c r="K33" s="83"/>
      <c r="L33" s="83"/>
      <c r="M33" s="83"/>
      <c r="N33" s="83"/>
      <c r="O33" s="83"/>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c r="AT33" s="83"/>
    </row>
    <row r="34" spans="1:46" x14ac:dyDescent="0.3">
      <c r="A34" s="80"/>
      <c r="B34" s="80"/>
      <c r="C34" s="80"/>
      <c r="D34" s="83"/>
      <c r="E34" s="83" t="str">
        <f>E24</f>
        <v>Xydalba IV</v>
      </c>
      <c r="F34" s="127">
        <f t="shared" ref="F34:F40" si="11">SUM(F14,F24)</f>
        <v>2871.5</v>
      </c>
      <c r="G34" s="127">
        <f t="shared" ref="G34:K34" si="12">SUM(G14,G24)</f>
        <v>0</v>
      </c>
      <c r="H34" s="127">
        <f t="shared" si="12"/>
        <v>0</v>
      </c>
      <c r="I34" s="127">
        <f t="shared" si="12"/>
        <v>0</v>
      </c>
      <c r="J34" s="127">
        <f t="shared" si="12"/>
        <v>0</v>
      </c>
      <c r="K34" s="127">
        <f t="shared" si="12"/>
        <v>0</v>
      </c>
      <c r="L34" s="135">
        <f t="shared" ref="L34:L40" si="13">SUM(L14,L24)</f>
        <v>2871.5</v>
      </c>
      <c r="M34" s="135">
        <f t="shared" ref="M34" si="14">SUM(M14,M24)</f>
        <v>2871.5</v>
      </c>
      <c r="N34" s="135"/>
      <c r="O34" s="83"/>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c r="AT34" s="83"/>
    </row>
    <row r="35" spans="1:46" x14ac:dyDescent="0.3">
      <c r="A35" s="80"/>
      <c r="B35" s="80"/>
      <c r="C35" s="80"/>
      <c r="D35" s="83"/>
      <c r="E35" s="83" t="str">
        <f t="shared" ref="E35:E40" si="15">E25</f>
        <v>Vancomycin IV</v>
      </c>
      <c r="F35" s="127">
        <f t="shared" si="11"/>
        <v>262.93399999999997</v>
      </c>
      <c r="G35" s="127">
        <f t="shared" ref="G35:K40" si="16">SUM(G15,G25)</f>
        <v>30.222012799999995</v>
      </c>
      <c r="H35" s="127">
        <f t="shared" si="16"/>
        <v>337.42502017654203</v>
      </c>
      <c r="I35" s="127">
        <f t="shared" si="16"/>
        <v>36385.12079999999</v>
      </c>
      <c r="J35" s="127">
        <f t="shared" si="16"/>
        <v>425.10825654449184</v>
      </c>
      <c r="K35" s="127">
        <f t="shared" si="16"/>
        <v>63.166510219530657</v>
      </c>
      <c r="L35" s="135">
        <f t="shared" si="13"/>
        <v>37503.976599740556</v>
      </c>
      <c r="M35" s="135">
        <f t="shared" ref="M35:N35" si="17">SUM(M15,M25)</f>
        <v>37503.976599740556</v>
      </c>
      <c r="N35" s="135">
        <f t="shared" si="17"/>
        <v>-34632.476599740556</v>
      </c>
      <c r="O35" s="83"/>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c r="AT35" s="83"/>
    </row>
    <row r="36" spans="1:46" x14ac:dyDescent="0.3">
      <c r="A36" s="80"/>
      <c r="B36" s="80"/>
      <c r="C36" s="80"/>
      <c r="D36" s="83"/>
      <c r="E36" s="83" t="str">
        <f t="shared" si="15"/>
        <v>Linezolid IV</v>
      </c>
      <c r="F36" s="127">
        <f t="shared" si="11"/>
        <v>1242.3600000000001</v>
      </c>
      <c r="G36" s="127">
        <f t="shared" si="16"/>
        <v>30.222012799999995</v>
      </c>
      <c r="H36" s="127">
        <f t="shared" si="16"/>
        <v>337.42502017654203</v>
      </c>
      <c r="I36" s="127">
        <f t="shared" si="16"/>
        <v>36385.12079999999</v>
      </c>
      <c r="J36" s="127">
        <f t="shared" si="16"/>
        <v>88.811039709970601</v>
      </c>
      <c r="K36" s="127">
        <f t="shared" si="16"/>
        <v>20.211506434519301</v>
      </c>
      <c r="L36" s="135">
        <f t="shared" si="13"/>
        <v>38104.150379121027</v>
      </c>
      <c r="M36" s="135">
        <f t="shared" ref="M36:N36" si="18">SUM(M16,M26)</f>
        <v>38104.150379121027</v>
      </c>
      <c r="N36" s="135">
        <f t="shared" si="18"/>
        <v>-35232.650379121027</v>
      </c>
      <c r="O36" s="83"/>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c r="AT36" s="83"/>
    </row>
    <row r="37" spans="1:46" x14ac:dyDescent="0.3">
      <c r="A37" s="80"/>
      <c r="B37" s="80"/>
      <c r="C37" s="80"/>
      <c r="D37" s="83"/>
      <c r="E37" s="83" t="str">
        <f t="shared" si="15"/>
        <v>Daptomycin</v>
      </c>
      <c r="F37" s="127">
        <f t="shared" si="11"/>
        <v>1036.4423999999999</v>
      </c>
      <c r="G37" s="127">
        <f t="shared" si="16"/>
        <v>30.222012799999995</v>
      </c>
      <c r="H37" s="127">
        <f t="shared" si="16"/>
        <v>337.42502017654203</v>
      </c>
      <c r="I37" s="127">
        <f t="shared" si="16"/>
        <v>36385.12079999999</v>
      </c>
      <c r="J37" s="127">
        <f t="shared" si="16"/>
        <v>77.233870085400042</v>
      </c>
      <c r="K37" s="127">
        <f t="shared" si="16"/>
        <v>30.783679031037089</v>
      </c>
      <c r="L37" s="135">
        <f t="shared" si="13"/>
        <v>37897.227782092974</v>
      </c>
      <c r="M37" s="135">
        <f t="shared" ref="M37:N37" si="19">SUM(M17,M27)</f>
        <v>37897.227782092974</v>
      </c>
      <c r="N37" s="135">
        <f t="shared" si="19"/>
        <v>-35025.727782092974</v>
      </c>
      <c r="O37" s="83"/>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c r="AT37" s="83"/>
    </row>
    <row r="38" spans="1:46" x14ac:dyDescent="0.3">
      <c r="A38" s="80"/>
      <c r="B38" s="80"/>
      <c r="C38" s="80"/>
      <c r="D38" s="83"/>
      <c r="E38" s="83" t="str">
        <f t="shared" si="15"/>
        <v>Cefazolin IV</v>
      </c>
      <c r="F38" s="127">
        <f t="shared" si="11"/>
        <v>126</v>
      </c>
      <c r="G38" s="127">
        <f t="shared" si="16"/>
        <v>30.222012799999995</v>
      </c>
      <c r="H38" s="127">
        <f t="shared" si="16"/>
        <v>337.42502017654203</v>
      </c>
      <c r="I38" s="127">
        <f t="shared" si="16"/>
        <v>36385.12079999999</v>
      </c>
      <c r="J38" s="127">
        <f t="shared" si="16"/>
        <v>133.63241359410023</v>
      </c>
      <c r="K38" s="127">
        <f t="shared" si="16"/>
        <v>30.783679031037089</v>
      </c>
      <c r="L38" s="135">
        <f t="shared" si="13"/>
        <v>37043.183925601676</v>
      </c>
      <c r="M38" s="135">
        <f t="shared" ref="M38:N38" si="20">SUM(M18,M28)</f>
        <v>37043.183925601676</v>
      </c>
      <c r="N38" s="135">
        <f t="shared" si="20"/>
        <v>-34171.683925601676</v>
      </c>
      <c r="O38" s="83"/>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c r="AT38" s="83"/>
    </row>
    <row r="39" spans="1:46" x14ac:dyDescent="0.3">
      <c r="A39" s="80"/>
      <c r="B39" s="80"/>
      <c r="C39" s="80"/>
      <c r="D39" s="83"/>
      <c r="E39" s="83" t="str">
        <f t="shared" si="15"/>
        <v>Ceftriaxone IV</v>
      </c>
      <c r="F39" s="127">
        <f t="shared" si="11"/>
        <v>174.86</v>
      </c>
      <c r="G39" s="127">
        <f t="shared" si="16"/>
        <v>30.222012799999995</v>
      </c>
      <c r="H39" s="127">
        <f t="shared" si="16"/>
        <v>337.42502017654203</v>
      </c>
      <c r="I39" s="127">
        <f t="shared" si="16"/>
        <v>36385.12079999999</v>
      </c>
      <c r="J39" s="127">
        <f t="shared" si="16"/>
        <v>51.012775303982679</v>
      </c>
      <c r="K39" s="127">
        <f t="shared" si="16"/>
        <v>42.155427706283113</v>
      </c>
      <c r="L39" s="135">
        <f t="shared" si="13"/>
        <v>37020.796035986801</v>
      </c>
      <c r="M39" s="135">
        <f t="shared" ref="M39:N40" si="21">SUM(M19,M29)</f>
        <v>37020.796035986801</v>
      </c>
      <c r="N39" s="135">
        <f t="shared" si="21"/>
        <v>-34149.296035986801</v>
      </c>
      <c r="O39" s="83"/>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c r="AT39" s="83"/>
    </row>
    <row r="40" spans="1:46" x14ac:dyDescent="0.3">
      <c r="A40" s="80"/>
      <c r="B40" s="80"/>
      <c r="C40" s="80"/>
      <c r="D40" s="83"/>
      <c r="E40" s="83" t="str">
        <f t="shared" si="15"/>
        <v>Other</v>
      </c>
      <c r="F40" s="127">
        <f t="shared" si="11"/>
        <v>0</v>
      </c>
      <c r="G40" s="127">
        <f t="shared" si="16"/>
        <v>30.222012799999995</v>
      </c>
      <c r="H40" s="127">
        <f t="shared" si="16"/>
        <v>0</v>
      </c>
      <c r="I40" s="127">
        <f t="shared" si="16"/>
        <v>0</v>
      </c>
      <c r="J40" s="127">
        <f t="shared" si="16"/>
        <v>0</v>
      </c>
      <c r="K40" s="127">
        <f t="shared" si="16"/>
        <v>0</v>
      </c>
      <c r="L40" s="135">
        <f t="shared" si="13"/>
        <v>30.222012799999995</v>
      </c>
      <c r="M40" s="135">
        <f t="shared" si="21"/>
        <v>30.222012799999995</v>
      </c>
      <c r="N40" s="135" t="str">
        <f>IF(F30&gt;0,SUM(N20,N30),"-")</f>
        <v>-</v>
      </c>
      <c r="O40" s="83"/>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c r="AT40" s="83"/>
    </row>
    <row r="41" spans="1:46" x14ac:dyDescent="0.3">
      <c r="A41" s="80"/>
      <c r="B41" s="80"/>
      <c r="C41" s="80"/>
      <c r="D41" s="83"/>
      <c r="E41" s="83"/>
      <c r="F41" s="83" t="s">
        <v>283</v>
      </c>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83"/>
    </row>
    <row r="42" spans="1:46" x14ac:dyDescent="0.3">
      <c r="A42" s="80"/>
      <c r="B42" s="80"/>
      <c r="C42" s="80"/>
      <c r="D42" s="83"/>
      <c r="E42" s="83"/>
      <c r="F42" s="83"/>
      <c r="G42" s="83"/>
      <c r="H42" s="83"/>
      <c r="I42" s="83"/>
      <c r="J42" s="83"/>
      <c r="K42" s="83"/>
      <c r="L42" s="83"/>
      <c r="M42" s="83"/>
      <c r="N42" s="83"/>
      <c r="O42" s="83"/>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c r="AT42" s="83"/>
    </row>
    <row r="43" spans="1:46" x14ac:dyDescent="0.3">
      <c r="A43" s="80"/>
      <c r="B43" s="80"/>
      <c r="C43" s="80"/>
      <c r="D43" s="83"/>
      <c r="E43" s="83"/>
      <c r="F43" s="83"/>
      <c r="G43" s="83"/>
      <c r="H43" s="83"/>
      <c r="I43" s="83"/>
      <c r="J43" s="83"/>
      <c r="K43" s="83"/>
      <c r="L43" s="83"/>
      <c r="M43" s="83"/>
      <c r="N43" s="83"/>
      <c r="O43" s="83"/>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c r="AT43" s="83"/>
    </row>
    <row r="44" spans="1:46" x14ac:dyDescent="0.3">
      <c r="A44" s="80"/>
      <c r="B44" s="80"/>
      <c r="C44" s="80"/>
      <c r="D44" s="83"/>
      <c r="E44" s="83"/>
      <c r="F44" s="83"/>
      <c r="G44" s="83"/>
      <c r="H44" s="83"/>
      <c r="I44" s="83"/>
      <c r="J44" s="83"/>
      <c r="K44" s="83"/>
      <c r="L44" s="83"/>
      <c r="M44" s="83"/>
      <c r="N44" s="83"/>
      <c r="O44" s="83"/>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c r="AT44" s="83"/>
    </row>
    <row r="45" spans="1:46" x14ac:dyDescent="0.3">
      <c r="A45" s="80"/>
      <c r="B45" s="80"/>
      <c r="C45" s="80"/>
      <c r="D45" s="83"/>
      <c r="E45" s="83"/>
      <c r="F45" s="83"/>
      <c r="G45" s="83"/>
      <c r="H45" s="83"/>
      <c r="I45" s="83"/>
      <c r="J45" s="83"/>
      <c r="K45" s="83"/>
      <c r="L45" s="83"/>
      <c r="M45" s="83"/>
      <c r="N45" s="83"/>
      <c r="O45" s="83"/>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c r="AT45" s="83"/>
    </row>
    <row r="46" spans="1:46" x14ac:dyDescent="0.3">
      <c r="A46" s="80"/>
      <c r="B46" s="80"/>
      <c r="C46" s="80"/>
      <c r="D46" s="83"/>
      <c r="E46" s="83"/>
      <c r="F46" s="83"/>
      <c r="G46" s="83"/>
      <c r="H46" s="83"/>
      <c r="I46" s="83"/>
      <c r="J46" s="83"/>
      <c r="K46" s="83"/>
      <c r="L46" s="83"/>
      <c r="M46" s="83"/>
      <c r="N46" s="83"/>
      <c r="O46" s="83"/>
      <c r="P46" s="83"/>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row>
    <row r="47" spans="1:46" x14ac:dyDescent="0.3">
      <c r="A47" s="80"/>
      <c r="B47" s="80"/>
      <c r="C47" s="80"/>
      <c r="D47" s="83"/>
      <c r="E47" s="83"/>
      <c r="F47" s="83"/>
      <c r="G47" s="83"/>
      <c r="H47" s="83"/>
      <c r="I47" s="83"/>
      <c r="J47" s="83"/>
      <c r="K47" s="83"/>
      <c r="L47" s="83"/>
      <c r="M47" s="83"/>
      <c r="N47" s="83"/>
      <c r="O47" s="83"/>
      <c r="P47" s="83"/>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row>
    <row r="48" spans="1:46" x14ac:dyDescent="0.3">
      <c r="A48" s="80"/>
      <c r="B48" s="80"/>
      <c r="C48" s="80"/>
      <c r="D48" s="83"/>
      <c r="E48" s="83"/>
      <c r="F48" s="83"/>
      <c r="G48" s="83"/>
      <c r="H48" s="83"/>
      <c r="I48" s="83"/>
      <c r="J48" s="83"/>
      <c r="K48" s="83"/>
      <c r="L48" s="83"/>
      <c r="M48" s="83"/>
      <c r="N48" s="83"/>
      <c r="O48" s="83"/>
      <c r="P48" s="83"/>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row>
    <row r="49" spans="1:46" x14ac:dyDescent="0.3">
      <c r="A49" s="80"/>
      <c r="B49" s="80"/>
      <c r="C49" s="80"/>
      <c r="D49" s="83"/>
      <c r="E49" s="83"/>
      <c r="F49" s="83"/>
      <c r="G49" s="83"/>
      <c r="H49" s="83"/>
      <c r="I49" s="83"/>
      <c r="J49" s="83"/>
      <c r="K49" s="83"/>
      <c r="L49" s="83"/>
      <c r="M49" s="83"/>
      <c r="N49" s="83"/>
      <c r="O49" s="83"/>
      <c r="P49" s="83"/>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row>
    <row r="50" spans="1:46" x14ac:dyDescent="0.3">
      <c r="A50" s="80"/>
      <c r="B50" s="80"/>
      <c r="C50" s="80"/>
      <c r="D50" s="83"/>
      <c r="E50" s="83"/>
      <c r="F50" s="83"/>
      <c r="G50" s="83"/>
      <c r="H50" s="83"/>
      <c r="I50" s="83"/>
      <c r="J50" s="83"/>
      <c r="K50" s="83"/>
      <c r="L50" s="83"/>
      <c r="M50" s="83"/>
      <c r="N50" s="83"/>
      <c r="O50" s="83"/>
      <c r="P50" s="83"/>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row>
    <row r="51" spans="1:46" x14ac:dyDescent="0.3">
      <c r="A51" s="80"/>
      <c r="B51" s="80"/>
      <c r="C51" s="80"/>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row>
    <row r="52" spans="1:46" x14ac:dyDescent="0.3">
      <c r="A52" s="80"/>
      <c r="B52" s="80"/>
      <c r="C52" s="80"/>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row>
    <row r="53" spans="1:46" x14ac:dyDescent="0.3">
      <c r="A53" s="80"/>
      <c r="B53" s="80"/>
      <c r="C53" s="80"/>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row>
    <row r="54" spans="1:46" x14ac:dyDescent="0.3">
      <c r="A54" s="80"/>
      <c r="B54" s="80"/>
      <c r="C54" s="80"/>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row>
    <row r="55" spans="1:46" x14ac:dyDescent="0.3">
      <c r="A55" s="80"/>
      <c r="B55" s="80"/>
      <c r="C55" s="80"/>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row>
    <row r="56" spans="1:46" x14ac:dyDescent="0.3">
      <c r="A56" s="80"/>
      <c r="B56" s="80"/>
      <c r="C56" s="80"/>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row>
    <row r="57" spans="1:46" x14ac:dyDescent="0.3">
      <c r="A57" s="80"/>
      <c r="B57" s="80"/>
      <c r="C57" s="80"/>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row>
    <row r="58" spans="1:46" x14ac:dyDescent="0.3">
      <c r="A58" s="80"/>
      <c r="B58" s="80"/>
      <c r="C58" s="80"/>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row>
    <row r="59" spans="1:46" x14ac:dyDescent="0.3">
      <c r="A59" s="80"/>
      <c r="B59" s="80"/>
      <c r="C59" s="80"/>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row>
    <row r="60" spans="1:46" x14ac:dyDescent="0.3">
      <c r="A60" s="80"/>
      <c r="B60" s="80"/>
      <c r="C60" s="80"/>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row>
    <row r="61" spans="1:46" x14ac:dyDescent="0.3">
      <c r="A61" s="80"/>
      <c r="B61" s="80"/>
      <c r="C61" s="80"/>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row>
    <row r="62" spans="1:46" x14ac:dyDescent="0.3">
      <c r="A62" s="80"/>
      <c r="B62" s="80"/>
      <c r="C62" s="80"/>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row>
    <row r="63" spans="1:46" x14ac:dyDescent="0.3">
      <c r="A63" s="80"/>
      <c r="B63" s="80"/>
      <c r="C63" s="80"/>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row>
    <row r="64" spans="1:46" x14ac:dyDescent="0.3">
      <c r="A64" s="80"/>
      <c r="B64" s="80"/>
      <c r="C64" s="80"/>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row>
    <row r="65" spans="1:46" x14ac:dyDescent="0.3">
      <c r="A65" s="80"/>
      <c r="B65" s="80"/>
      <c r="C65" s="80"/>
      <c r="D65" s="83"/>
      <c r="E65" s="83"/>
      <c r="F65" s="83"/>
      <c r="G65" s="83"/>
      <c r="H65" s="83"/>
      <c r="I65" s="83"/>
      <c r="J65" s="83"/>
      <c r="K65" s="83"/>
      <c r="L65" s="83"/>
      <c r="M65" s="83"/>
      <c r="N65" s="83"/>
      <c r="O65" s="83"/>
      <c r="P65" s="83"/>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row>
    <row r="66" spans="1:46" x14ac:dyDescent="0.3">
      <c r="A66" s="80"/>
      <c r="B66" s="80"/>
      <c r="C66" s="80"/>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row>
    <row r="67" spans="1:46" x14ac:dyDescent="0.3">
      <c r="A67" s="80"/>
      <c r="B67" s="80"/>
      <c r="C67" s="80"/>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row>
    <row r="68" spans="1:46" x14ac:dyDescent="0.3">
      <c r="A68" s="80"/>
      <c r="B68" s="80"/>
      <c r="C68" s="80"/>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row>
    <row r="69" spans="1:46" x14ac:dyDescent="0.3">
      <c r="A69" s="80"/>
      <c r="B69" s="80"/>
      <c r="C69" s="80"/>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row>
    <row r="70" spans="1:46" x14ac:dyDescent="0.3">
      <c r="A70" s="80"/>
      <c r="B70" s="80"/>
      <c r="C70" s="80"/>
      <c r="D70" s="83"/>
      <c r="E70" s="83"/>
      <c r="F70" s="83"/>
      <c r="G70" s="83"/>
      <c r="H70" s="83"/>
      <c r="I70" s="8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c r="AT70" s="83"/>
    </row>
    <row r="71" spans="1:46" x14ac:dyDescent="0.3">
      <c r="A71" s="80"/>
      <c r="B71" s="80"/>
      <c r="C71" s="80"/>
      <c r="D71" s="83"/>
      <c r="E71" s="83"/>
      <c r="F71" s="83"/>
      <c r="G71" s="83"/>
      <c r="H71" s="83"/>
      <c r="I71" s="83"/>
      <c r="J71" s="83"/>
      <c r="K71" s="83"/>
      <c r="L71" s="83"/>
      <c r="M71" s="83"/>
      <c r="N71" s="83"/>
      <c r="O71" s="83"/>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c r="AT71" s="83"/>
    </row>
    <row r="72" spans="1:46" x14ac:dyDescent="0.3">
      <c r="A72" s="80"/>
      <c r="B72" s="80"/>
      <c r="C72" s="80"/>
      <c r="D72" s="83"/>
      <c r="E72" s="83"/>
      <c r="F72" s="83"/>
      <c r="G72" s="83"/>
      <c r="H72" s="83"/>
      <c r="I72" s="83"/>
      <c r="J72" s="83"/>
      <c r="K72" s="83"/>
      <c r="L72" s="83"/>
      <c r="M72" s="83"/>
      <c r="N72" s="83"/>
      <c r="O72" s="83"/>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c r="AT72" s="83"/>
    </row>
    <row r="73" spans="1:46" x14ac:dyDescent="0.3">
      <c r="A73" s="80"/>
      <c r="B73" s="80"/>
      <c r="C73" s="80"/>
      <c r="D73" s="83"/>
      <c r="E73" s="83"/>
      <c r="F73" s="83"/>
      <c r="G73" s="83"/>
      <c r="H73" s="83"/>
      <c r="I73" s="83"/>
      <c r="J73" s="83"/>
      <c r="K73" s="83"/>
      <c r="L73" s="83"/>
      <c r="M73" s="83"/>
      <c r="N73" s="83"/>
      <c r="O73" s="83"/>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c r="AT73" s="83"/>
    </row>
    <row r="74" spans="1:46" x14ac:dyDescent="0.3">
      <c r="A74" s="80"/>
      <c r="B74" s="80"/>
      <c r="C74" s="80"/>
      <c r="D74" s="83"/>
      <c r="E74" s="83"/>
      <c r="F74" s="83"/>
      <c r="G74" s="83"/>
      <c r="H74" s="83"/>
      <c r="I74" s="83"/>
      <c r="J74" s="83"/>
      <c r="K74" s="83"/>
      <c r="L74" s="83"/>
      <c r="M74" s="83"/>
      <c r="N74" s="83"/>
      <c r="O74" s="83"/>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c r="AT74" s="83"/>
    </row>
    <row r="75" spans="1:46" x14ac:dyDescent="0.3">
      <c r="A75" s="80"/>
      <c r="B75" s="80"/>
      <c r="C75" s="80"/>
      <c r="D75" s="83"/>
      <c r="E75" s="83"/>
      <c r="F75" s="83"/>
      <c r="G75" s="83"/>
      <c r="H75" s="83"/>
      <c r="I75" s="83"/>
      <c r="J75" s="83"/>
      <c r="K75" s="83"/>
      <c r="L75" s="83"/>
      <c r="M75" s="83"/>
      <c r="N75" s="83"/>
      <c r="O75" s="83"/>
      <c r="P75" s="83"/>
      <c r="Q75" s="83"/>
      <c r="R75" s="83"/>
      <c r="S75" s="83"/>
      <c r="T75" s="83"/>
      <c r="U75" s="83"/>
      <c r="V75" s="83"/>
      <c r="W75" s="83"/>
      <c r="X75" s="83"/>
      <c r="Y75" s="83"/>
      <c r="Z75" s="83"/>
      <c r="AA75" s="83"/>
      <c r="AB75" s="83"/>
      <c r="AC75" s="83"/>
      <c r="AD75" s="83"/>
      <c r="AE75" s="83"/>
      <c r="AF75" s="83"/>
      <c r="AG75" s="83"/>
      <c r="AH75" s="83"/>
      <c r="AI75" s="83"/>
      <c r="AJ75" s="83"/>
      <c r="AK75" s="83"/>
      <c r="AL75" s="83"/>
      <c r="AM75" s="83"/>
      <c r="AN75" s="83"/>
      <c r="AO75" s="83"/>
      <c r="AP75" s="83"/>
      <c r="AQ75" s="83"/>
      <c r="AR75" s="83"/>
      <c r="AS75" s="83"/>
      <c r="AT75" s="83"/>
    </row>
  </sheetData>
  <sheetProtection algorithmName="SHA-512" hashValue="IyDbq3Tgy63qzmqHEtbqtt8WXUNvjR20gxzwl7DoqeazNp2FjXYjH9u0wnYleW+d8zaqi45IQdvd1LmhJ+8U/A==" saltValue="JRCIRoY3E6PgA2X8cQNozg==" spinCount="100000" sheet="1" objects="1" scenarios="1"/>
  <mergeCells count="1">
    <mergeCell ref="E3:Q3"/>
  </mergeCells>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0663" r:id="rId4" name="Drop Down 7">
              <controlPr defaultSize="0" autoLine="0" autoPict="0">
                <anchor moveWithCells="1">
                  <from>
                    <xdr:col>4</xdr:col>
                    <xdr:colOff>2743200</xdr:colOff>
                    <xdr:row>5</xdr:row>
                    <xdr:rowOff>0</xdr:rowOff>
                  </from>
                  <to>
                    <xdr:col>7</xdr:col>
                    <xdr:colOff>914400</xdr:colOff>
                    <xdr:row>6</xdr:row>
                    <xdr:rowOff>167640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79138-330D-4C51-B860-C656D96FCB70}">
  <sheetPr codeName="Sheet9">
    <tabColor theme="4"/>
  </sheetPr>
  <dimension ref="A1:AU119"/>
  <sheetViews>
    <sheetView topLeftCell="A2" zoomScale="60" zoomScaleNormal="60" workbookViewId="0">
      <selection activeCell="L32" sqref="L31:L32"/>
    </sheetView>
  </sheetViews>
  <sheetFormatPr defaultColWidth="8.88671875" defaultRowHeight="14.4" x14ac:dyDescent="0.3"/>
  <cols>
    <col min="1" max="2" width="9.44140625" customWidth="1"/>
    <col min="3" max="3" width="9.88671875" customWidth="1"/>
    <col min="5" max="5" width="46.5546875" customWidth="1"/>
    <col min="6" max="7" width="14" customWidth="1"/>
    <col min="8" max="8" width="15.109375" customWidth="1"/>
    <col min="9" max="12" width="14" customWidth="1"/>
    <col min="13" max="13" width="14.5546875" customWidth="1"/>
    <col min="14" max="16" width="12.44140625" customWidth="1"/>
    <col min="19" max="19" width="12" bestFit="1" customWidth="1"/>
    <col min="25" max="25" width="10" bestFit="1" customWidth="1"/>
  </cols>
  <sheetData>
    <row r="1" spans="1:46"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6" ht="32.4" customHeight="1" x14ac:dyDescent="0.3">
      <c r="A2" s="1"/>
      <c r="B2" s="1"/>
      <c r="C2" s="1"/>
      <c r="D2" s="1"/>
      <c r="E2" s="3" t="s">
        <v>329</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6" ht="56.55" customHeight="1" x14ac:dyDescent="0.3">
      <c r="A3" s="1"/>
      <c r="B3" s="1"/>
      <c r="C3" s="1"/>
      <c r="D3" s="1"/>
      <c r="E3" s="188" t="s">
        <v>332</v>
      </c>
      <c r="F3" s="188"/>
      <c r="G3" s="188"/>
      <c r="H3" s="188"/>
      <c r="I3" s="188"/>
      <c r="J3" s="188"/>
      <c r="K3" s="188"/>
      <c r="L3" s="188"/>
      <c r="M3" s="188"/>
      <c r="N3" s="188"/>
      <c r="O3" s="188"/>
      <c r="P3" s="188"/>
      <c r="Q3" s="188"/>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6" x14ac:dyDescent="0.3">
      <c r="A4" s="1"/>
      <c r="B4" s="1"/>
      <c r="C4" s="1"/>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6" ht="17.100000000000001" customHeight="1" x14ac:dyDescent="0.3">
      <c r="A5" s="1"/>
      <c r="B5" s="1"/>
      <c r="C5" s="1"/>
      <c r="D5" s="2"/>
      <c r="E5" s="30"/>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6" x14ac:dyDescent="0.3">
      <c r="A6" s="1"/>
      <c r="B6" s="1"/>
      <c r="C6" s="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6" x14ac:dyDescent="0.3">
      <c r="A7" s="1"/>
      <c r="B7" s="1"/>
      <c r="C7" s="1"/>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6" ht="18.600000000000001" thickBot="1" x14ac:dyDescent="0.4">
      <c r="A8" s="1"/>
      <c r="B8" s="1"/>
      <c r="C8" s="1"/>
      <c r="D8" s="2"/>
      <c r="E8" s="31" t="s">
        <v>179</v>
      </c>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row>
    <row r="9" spans="1:46" x14ac:dyDescent="0.3">
      <c r="A9" s="1"/>
      <c r="B9" s="1"/>
      <c r="C9" s="1"/>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6" ht="18" x14ac:dyDescent="0.35">
      <c r="A10" s="1"/>
      <c r="B10" s="1"/>
      <c r="C10" s="1"/>
      <c r="D10" s="2"/>
      <c r="E10" s="67" t="s">
        <v>180</v>
      </c>
      <c r="F10" s="18" t="s">
        <v>316</v>
      </c>
      <c r="G10" s="18" t="s">
        <v>317</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row>
    <row r="11" spans="1:46" x14ac:dyDescent="0.3">
      <c r="A11" s="1"/>
      <c r="B11" s="1"/>
      <c r="C11" s="1"/>
      <c r="D11" s="2"/>
      <c r="E11" s="33" t="s">
        <v>181</v>
      </c>
      <c r="F11" s="77">
        <v>0.1</v>
      </c>
      <c r="G11" s="79">
        <v>15720.24</v>
      </c>
      <c r="H11" s="62" t="s">
        <v>318</v>
      </c>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row>
    <row r="12" spans="1:46" x14ac:dyDescent="0.3">
      <c r="A12" s="1"/>
      <c r="B12" s="1"/>
      <c r="C12" s="1"/>
      <c r="D12" s="2"/>
      <c r="E12" s="33" t="s">
        <v>320</v>
      </c>
      <c r="F12" s="77">
        <v>0.2</v>
      </c>
      <c r="G12" s="79">
        <v>2008</v>
      </c>
      <c r="H12" s="62" t="s">
        <v>319</v>
      </c>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row>
    <row r="13" spans="1:46" ht="14.4" customHeight="1" x14ac:dyDescent="0.3">
      <c r="A13" s="1"/>
      <c r="B13" s="1"/>
      <c r="C13" s="1"/>
      <c r="D13" s="2"/>
      <c r="E13" s="33" t="s">
        <v>178</v>
      </c>
      <c r="F13" s="33"/>
      <c r="G13" s="155">
        <f>SUMPRODUCT(F11:F12,G11:G12)</f>
        <v>1973.6240000000003</v>
      </c>
      <c r="H13" s="30"/>
      <c r="I13" s="2"/>
      <c r="J13" s="49"/>
      <c r="K13" s="49"/>
      <c r="L13" s="49"/>
      <c r="M13" s="49"/>
      <c r="N13" s="49"/>
      <c r="O13" s="49"/>
      <c r="P13" s="49"/>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row>
    <row r="14" spans="1:46" x14ac:dyDescent="0.3">
      <c r="A14" s="1"/>
      <c r="B14" s="1"/>
      <c r="C14" s="1"/>
      <c r="D14" s="2"/>
      <c r="E14" s="2"/>
      <c r="F14" s="2"/>
      <c r="G14" s="2"/>
      <c r="H14" s="2"/>
      <c r="I14" s="49"/>
      <c r="J14" s="49"/>
      <c r="K14" s="49"/>
      <c r="L14" s="49"/>
      <c r="M14" s="49"/>
      <c r="N14" s="49"/>
      <c r="O14" s="49"/>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row>
    <row r="15" spans="1:46" ht="28.8" x14ac:dyDescent="0.3">
      <c r="A15" s="1"/>
      <c r="B15" s="1"/>
      <c r="C15" s="1"/>
      <c r="D15" s="2"/>
      <c r="E15" s="61" t="s">
        <v>38</v>
      </c>
      <c r="F15" s="20" t="s">
        <v>182</v>
      </c>
      <c r="G15" s="20" t="s">
        <v>183</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6" x14ac:dyDescent="0.3">
      <c r="A16" s="1"/>
      <c r="B16" s="1"/>
      <c r="C16" s="1"/>
      <c r="D16" s="2"/>
      <c r="E16" s="2" t="s">
        <v>336</v>
      </c>
      <c r="F16" s="73" t="s">
        <v>184</v>
      </c>
      <c r="G16" s="154">
        <f t="shared" ref="G16:G22" si="0">IF(F16="Yes",G$13,0)</f>
        <v>0</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row>
    <row r="17" spans="1:45" x14ac:dyDescent="0.3">
      <c r="A17" s="1"/>
      <c r="B17" s="1"/>
      <c r="C17" s="1"/>
      <c r="D17" s="2"/>
      <c r="E17" s="2" t="s">
        <v>63</v>
      </c>
      <c r="F17" s="73" t="s">
        <v>185</v>
      </c>
      <c r="G17" s="154">
        <f t="shared" si="0"/>
        <v>1973.6240000000003</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5" x14ac:dyDescent="0.3">
      <c r="A18" s="1"/>
      <c r="B18" s="1"/>
      <c r="C18" s="1"/>
      <c r="D18" s="2"/>
      <c r="E18" s="2" t="s">
        <v>64</v>
      </c>
      <c r="F18" s="73" t="s">
        <v>185</v>
      </c>
      <c r="G18" s="154">
        <f t="shared" si="0"/>
        <v>1973.6240000000003</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row>
    <row r="19" spans="1:45" x14ac:dyDescent="0.3">
      <c r="A19" s="1"/>
      <c r="B19" s="1"/>
      <c r="C19" s="1"/>
      <c r="D19" s="2"/>
      <c r="E19" s="2" t="s">
        <v>71</v>
      </c>
      <c r="F19" s="73" t="s">
        <v>185</v>
      </c>
      <c r="G19" s="154">
        <f t="shared" si="0"/>
        <v>1973.6240000000003</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5" x14ac:dyDescent="0.3">
      <c r="A20" s="1"/>
      <c r="B20" s="1"/>
      <c r="C20" s="1"/>
      <c r="D20" s="2"/>
      <c r="E20" s="2" t="s">
        <v>65</v>
      </c>
      <c r="F20" s="73" t="s">
        <v>185</v>
      </c>
      <c r="G20" s="154">
        <f t="shared" si="0"/>
        <v>1973.6240000000003</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row>
    <row r="21" spans="1:45" x14ac:dyDescent="0.3">
      <c r="A21" s="1"/>
      <c r="B21" s="1"/>
      <c r="C21" s="1"/>
      <c r="D21" s="2"/>
      <c r="E21" s="2" t="s">
        <v>66</v>
      </c>
      <c r="F21" s="73" t="s">
        <v>185</v>
      </c>
      <c r="G21" s="154">
        <f t="shared" si="0"/>
        <v>1973.6240000000003</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5" x14ac:dyDescent="0.3">
      <c r="A22" s="1"/>
      <c r="B22" s="1"/>
      <c r="C22" s="1"/>
      <c r="D22" s="2"/>
      <c r="E22" s="2" t="s">
        <v>285</v>
      </c>
      <c r="F22" s="73" t="s">
        <v>184</v>
      </c>
      <c r="G22" s="154">
        <f t="shared" si="0"/>
        <v>0</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row>
    <row r="23" spans="1:45" x14ac:dyDescent="0.3">
      <c r="A23" s="1"/>
      <c r="B23" s="1"/>
      <c r="C23" s="1"/>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x14ac:dyDescent="0.3">
      <c r="A24" s="1"/>
      <c r="B24" s="1"/>
      <c r="C24" s="1"/>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18" x14ac:dyDescent="0.35">
      <c r="A25" s="1"/>
      <c r="B25" s="1"/>
      <c r="C25" s="1"/>
      <c r="D25" s="2"/>
      <c r="E25" s="67" t="s">
        <v>323</v>
      </c>
      <c r="F25" s="77">
        <v>0.03</v>
      </c>
      <c r="G25" s="164" t="s">
        <v>284</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18" x14ac:dyDescent="0.35">
      <c r="A26" s="1"/>
      <c r="B26" s="1"/>
      <c r="C26" s="1"/>
      <c r="D26" s="2"/>
      <c r="E26" s="67"/>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18" x14ac:dyDescent="0.35">
      <c r="A27" s="1"/>
      <c r="B27" s="1"/>
      <c r="C27" s="1"/>
      <c r="D27" s="2"/>
      <c r="E27" s="67" t="s">
        <v>321</v>
      </c>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row>
    <row r="28" spans="1:45" ht="18" x14ac:dyDescent="0.35">
      <c r="A28" s="1"/>
      <c r="B28" s="1"/>
      <c r="C28" s="1"/>
      <c r="D28" s="2"/>
      <c r="E28" s="67"/>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row>
    <row r="29" spans="1:45" x14ac:dyDescent="0.3">
      <c r="A29" s="1"/>
      <c r="B29" s="1"/>
      <c r="C29" s="1"/>
      <c r="D29" s="2"/>
      <c r="E29" s="33" t="s">
        <v>268</v>
      </c>
      <c r="F29" s="78">
        <v>150</v>
      </c>
      <c r="G29" s="184" t="s">
        <v>143</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x14ac:dyDescent="0.3">
      <c r="A30" s="1"/>
      <c r="B30" s="1"/>
      <c r="C30" s="1"/>
      <c r="D30" s="2"/>
      <c r="E30" s="33" t="s">
        <v>189</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x14ac:dyDescent="0.3">
      <c r="A31" s="1"/>
      <c r="B31" s="1"/>
      <c r="C31" s="1"/>
      <c r="D31" s="2"/>
      <c r="E31" s="68" t="s">
        <v>190</v>
      </c>
      <c r="F31" s="78">
        <v>17</v>
      </c>
      <c r="G31" s="166" t="s">
        <v>314</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row>
    <row r="32" spans="1:45" x14ac:dyDescent="0.3">
      <c r="A32" s="1"/>
      <c r="B32" s="1"/>
      <c r="C32" s="1"/>
      <c r="D32" s="2"/>
      <c r="E32" s="68" t="s">
        <v>191</v>
      </c>
      <c r="F32" s="78">
        <v>68</v>
      </c>
      <c r="G32" s="166" t="str">
        <f>G31</f>
        <v>Medical Transportation Benefit (fnha.ca), accessed on January 2024</v>
      </c>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6" x14ac:dyDescent="0.3">
      <c r="A33" s="1"/>
      <c r="B33" s="1"/>
      <c r="C33" s="1"/>
      <c r="D33" s="2"/>
      <c r="E33" s="68" t="s">
        <v>192</v>
      </c>
      <c r="F33" s="78">
        <v>283</v>
      </c>
      <c r="G33" s="166" t="str">
        <f>G32</f>
        <v>Medical Transportation Benefit (fnha.ca), accessed on January 2024</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6" x14ac:dyDescent="0.3">
      <c r="A34" s="1"/>
      <c r="B34" s="1"/>
      <c r="C34" s="1"/>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6" ht="43.2" x14ac:dyDescent="0.3">
      <c r="A35" s="1"/>
      <c r="B35" s="1"/>
      <c r="C35" s="1"/>
      <c r="D35" s="2"/>
      <c r="E35" s="17" t="s">
        <v>38</v>
      </c>
      <c r="F35" s="20"/>
      <c r="G35" s="20" t="s">
        <v>193</v>
      </c>
      <c r="H35" s="20" t="s">
        <v>194</v>
      </c>
      <c r="I35" s="20" t="s">
        <v>195</v>
      </c>
      <c r="J35" s="20" t="s">
        <v>183</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x14ac:dyDescent="0.3">
      <c r="A36" s="1"/>
      <c r="B36" s="1"/>
      <c r="C36" s="1"/>
      <c r="D36" s="2"/>
      <c r="E36" s="2" t="str">
        <f t="shared" ref="E36:E42" si="1">E16</f>
        <v>Xydalba IV</v>
      </c>
      <c r="F36" s="73" t="s">
        <v>184</v>
      </c>
      <c r="G36" s="73" t="s">
        <v>184</v>
      </c>
      <c r="H36" s="48">
        <f>'Cost calculator'!F109</f>
        <v>0</v>
      </c>
      <c r="I36" s="73" t="s">
        <v>184</v>
      </c>
      <c r="J36" s="154">
        <f t="shared" ref="J36:J42" si="2">r_p_carer*(IF(F36="Yes",G$12*F$12,0)+IF(G36="Yes",MAX((H36-1),0)*F$29,0)+IF(I36="Yes",IF(H36&gt;0,IF(H36&lt;=1,F$31,IF(H36&lt;7,F$32*H36,H36/7*F$33)),0)))</f>
        <v>0</v>
      </c>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46" x14ac:dyDescent="0.3">
      <c r="A37" s="1"/>
      <c r="B37" s="1"/>
      <c r="C37" s="1"/>
      <c r="D37" s="2"/>
      <c r="E37" s="2" t="str">
        <f t="shared" si="1"/>
        <v>Vancomycin IV</v>
      </c>
      <c r="F37" s="73" t="s">
        <v>185</v>
      </c>
      <c r="G37" s="73" t="s">
        <v>185</v>
      </c>
      <c r="H37" s="48">
        <f>'Cost calculator'!F110</f>
        <v>14</v>
      </c>
      <c r="I37" s="73" t="s">
        <v>185</v>
      </c>
      <c r="J37" s="154">
        <f t="shared" si="2"/>
        <v>87.527999999999992</v>
      </c>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3">
      <c r="A38" s="1"/>
      <c r="B38" s="1"/>
      <c r="C38" s="1"/>
      <c r="D38" s="2"/>
      <c r="E38" s="2" t="str">
        <f t="shared" si="1"/>
        <v>Linezolid IV</v>
      </c>
      <c r="F38" s="73" t="s">
        <v>185</v>
      </c>
      <c r="G38" s="73" t="s">
        <v>185</v>
      </c>
      <c r="H38" s="48">
        <f>'Cost calculator'!F111</f>
        <v>14</v>
      </c>
      <c r="I38" s="73" t="s">
        <v>185</v>
      </c>
      <c r="J38" s="154">
        <f t="shared" si="2"/>
        <v>87.527999999999992</v>
      </c>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x14ac:dyDescent="0.3">
      <c r="A39" s="1"/>
      <c r="B39" s="1"/>
      <c r="C39" s="1"/>
      <c r="D39" s="2"/>
      <c r="E39" s="2" t="str">
        <f t="shared" si="1"/>
        <v>Daptomycin</v>
      </c>
      <c r="F39" s="73" t="s">
        <v>185</v>
      </c>
      <c r="G39" s="73" t="s">
        <v>185</v>
      </c>
      <c r="H39" s="48">
        <f>'Cost calculator'!F112</f>
        <v>14</v>
      </c>
      <c r="I39" s="73" t="s">
        <v>185</v>
      </c>
      <c r="J39" s="154">
        <f t="shared" si="2"/>
        <v>87.527999999999992</v>
      </c>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x14ac:dyDescent="0.3">
      <c r="A40" s="1"/>
      <c r="B40" s="1"/>
      <c r="C40" s="1"/>
      <c r="D40" s="2"/>
      <c r="E40" s="2" t="str">
        <f t="shared" si="1"/>
        <v>Cefazolin IV</v>
      </c>
      <c r="F40" s="73" t="s">
        <v>185</v>
      </c>
      <c r="G40" s="73" t="s">
        <v>185</v>
      </c>
      <c r="H40" s="48">
        <f>'Cost calculator'!F113</f>
        <v>14</v>
      </c>
      <c r="I40" s="73" t="s">
        <v>185</v>
      </c>
      <c r="J40" s="154">
        <f t="shared" si="2"/>
        <v>87.527999999999992</v>
      </c>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x14ac:dyDescent="0.3">
      <c r="A41" s="1"/>
      <c r="B41" s="1"/>
      <c r="C41" s="1"/>
      <c r="D41" s="2"/>
      <c r="E41" s="2" t="str">
        <f t="shared" si="1"/>
        <v>Ceftriaxone IV</v>
      </c>
      <c r="F41" s="73" t="s">
        <v>185</v>
      </c>
      <c r="G41" s="73" t="s">
        <v>185</v>
      </c>
      <c r="H41" s="48">
        <f>'Cost calculator'!F114</f>
        <v>14</v>
      </c>
      <c r="I41" s="73" t="s">
        <v>185</v>
      </c>
      <c r="J41" s="154">
        <f t="shared" si="2"/>
        <v>87.527999999999992</v>
      </c>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6" x14ac:dyDescent="0.3">
      <c r="A42" s="1"/>
      <c r="B42" s="1"/>
      <c r="C42" s="1"/>
      <c r="D42" s="2"/>
      <c r="E42" s="2" t="str">
        <f t="shared" si="1"/>
        <v>Other</v>
      </c>
      <c r="F42" s="73" t="s">
        <v>184</v>
      </c>
      <c r="G42" s="73" t="s">
        <v>184</v>
      </c>
      <c r="H42" s="48">
        <f>'Cost calculator'!F115</f>
        <v>14</v>
      </c>
      <c r="I42" s="73" t="s">
        <v>184</v>
      </c>
      <c r="J42" s="154">
        <f t="shared" si="2"/>
        <v>0</v>
      </c>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46" x14ac:dyDescent="0.3">
      <c r="A43" s="1"/>
      <c r="B43" s="1"/>
      <c r="C43" s="1"/>
      <c r="D43" s="2"/>
      <c r="E43" s="182" t="s">
        <v>325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6" x14ac:dyDescent="0.3">
      <c r="A44" s="1"/>
      <c r="B44" s="1"/>
      <c r="C44" s="1"/>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6" x14ac:dyDescent="0.3">
      <c r="A45" s="1"/>
      <c r="B45" s="1"/>
      <c r="C45" s="1"/>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6" ht="18.600000000000001" thickBot="1" x14ac:dyDescent="0.4">
      <c r="A46" s="1"/>
      <c r="B46" s="1"/>
      <c r="C46" s="1"/>
      <c r="D46" s="2"/>
      <c r="E46" s="31" t="s">
        <v>196</v>
      </c>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row>
    <row r="47" spans="1:46" x14ac:dyDescent="0.3">
      <c r="A47" s="1"/>
      <c r="B47" s="1"/>
      <c r="C47" s="1"/>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6" x14ac:dyDescent="0.3">
      <c r="A48" s="1"/>
      <c r="B48" s="1"/>
      <c r="C48" s="1"/>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x14ac:dyDescent="0.3">
      <c r="A49" s="1"/>
      <c r="B49" s="1"/>
      <c r="C49" s="1"/>
      <c r="D49" s="2"/>
      <c r="E49" s="84" t="s">
        <v>322</v>
      </c>
      <c r="F49" s="73">
        <v>1</v>
      </c>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x14ac:dyDescent="0.3">
      <c r="A50" s="1"/>
      <c r="B50" s="1"/>
      <c r="C50" s="1"/>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ht="58.8" x14ac:dyDescent="0.4">
      <c r="A51" s="1"/>
      <c r="B51" s="1"/>
      <c r="C51" s="1"/>
      <c r="D51" s="2"/>
      <c r="E51" s="141" t="s">
        <v>168</v>
      </c>
      <c r="F51" s="98" t="s">
        <v>169</v>
      </c>
      <c r="G51" s="98" t="s">
        <v>170</v>
      </c>
      <c r="H51" s="98" t="s">
        <v>171</v>
      </c>
      <c r="I51" s="99" t="s">
        <v>172</v>
      </c>
      <c r="J51" s="98" t="s">
        <v>173</v>
      </c>
      <c r="K51" s="98" t="s">
        <v>174</v>
      </c>
      <c r="L51" s="98" t="s">
        <v>175</v>
      </c>
      <c r="M51" s="98" t="s">
        <v>176</v>
      </c>
      <c r="N51" s="98" t="s">
        <v>282</v>
      </c>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x14ac:dyDescent="0.3">
      <c r="A52" s="1"/>
      <c r="B52" s="1"/>
      <c r="C52" s="1"/>
      <c r="D52" s="2"/>
      <c r="E52" s="83"/>
      <c r="F52" s="83"/>
      <c r="G52" s="83"/>
      <c r="H52" s="83"/>
      <c r="I52" s="83"/>
      <c r="J52" s="83"/>
      <c r="K52" s="83"/>
      <c r="L52" s="83"/>
      <c r="M52" s="83"/>
      <c r="N52" s="83"/>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x14ac:dyDescent="0.3">
      <c r="A53" s="1"/>
      <c r="B53" s="1"/>
      <c r="C53" s="1"/>
      <c r="D53" s="2"/>
      <c r="E53" s="83" t="str">
        <f>Results!E14</f>
        <v>Xydalba IV</v>
      </c>
      <c r="F53" s="127">
        <f>Results!F14</f>
        <v>0</v>
      </c>
      <c r="G53" s="127">
        <f>Results!G14</f>
        <v>0</v>
      </c>
      <c r="H53" s="127">
        <f>Results!H14</f>
        <v>0</v>
      </c>
      <c r="I53" s="127">
        <f>Results!I14</f>
        <v>0</v>
      </c>
      <c r="J53" s="127">
        <f>Results!J14</f>
        <v>0</v>
      </c>
      <c r="K53" s="127">
        <f>Results!K14</f>
        <v>0</v>
      </c>
      <c r="L53" s="135">
        <f>Results!L14</f>
        <v>0</v>
      </c>
      <c r="M53" s="135">
        <f t="shared" ref="M53:M59" si="3">L53*r_n2</f>
        <v>0</v>
      </c>
      <c r="N53" s="135"/>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x14ac:dyDescent="0.3">
      <c r="A54" s="1"/>
      <c r="B54" s="1"/>
      <c r="C54" s="1"/>
      <c r="D54" s="2"/>
      <c r="E54" s="83" t="str">
        <f>Results!E15</f>
        <v>Vancomycin IV</v>
      </c>
      <c r="F54" s="127">
        <f>Results!F15</f>
        <v>180.29759999999999</v>
      </c>
      <c r="G54" s="127">
        <f>Results!G15</f>
        <v>0</v>
      </c>
      <c r="H54" s="127">
        <f>Results!H15</f>
        <v>337.42502017654203</v>
      </c>
      <c r="I54" s="127">
        <f>Results!I15</f>
        <v>36385.12079999999</v>
      </c>
      <c r="J54" s="127">
        <f>Results!J15</f>
        <v>113.44141568938487</v>
      </c>
      <c r="K54" s="127">
        <f>Results!K15</f>
        <v>63.166510219530657</v>
      </c>
      <c r="L54" s="135">
        <f>Results!L15</f>
        <v>37079.45134608545</v>
      </c>
      <c r="M54" s="135">
        <f t="shared" si="3"/>
        <v>37079.45134608545</v>
      </c>
      <c r="N54" s="135">
        <f>Results!N15</f>
        <v>-37079.45134608545</v>
      </c>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x14ac:dyDescent="0.3">
      <c r="A55" s="1"/>
      <c r="B55" s="1"/>
      <c r="C55" s="1"/>
      <c r="D55" s="2"/>
      <c r="E55" s="83" t="str">
        <f>Results!E16</f>
        <v>Linezolid IV</v>
      </c>
      <c r="F55" s="127">
        <f>Results!F16</f>
        <v>1242.3600000000001</v>
      </c>
      <c r="G55" s="127">
        <f>Results!G16</f>
        <v>30.222012799999995</v>
      </c>
      <c r="H55" s="127">
        <f>Results!H16</f>
        <v>337.42502017654203</v>
      </c>
      <c r="I55" s="127">
        <f>Results!I16</f>
        <v>36385.12079999999</v>
      </c>
      <c r="J55" s="127">
        <f>Results!J16</f>
        <v>88.811039709970601</v>
      </c>
      <c r="K55" s="127">
        <f>Results!K16</f>
        <v>20.211506434519301</v>
      </c>
      <c r="L55" s="135">
        <f>Results!L16</f>
        <v>38104.150379121027</v>
      </c>
      <c r="M55" s="135">
        <f t="shared" si="3"/>
        <v>38104.150379121027</v>
      </c>
      <c r="N55" s="135">
        <f>Results!N16</f>
        <v>-38104.150379121027</v>
      </c>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x14ac:dyDescent="0.3">
      <c r="A56" s="1"/>
      <c r="B56" s="1"/>
      <c r="C56" s="1"/>
      <c r="D56" s="2"/>
      <c r="E56" s="83" t="str">
        <f>Results!E17</f>
        <v>Daptomycin</v>
      </c>
      <c r="F56" s="127">
        <f>Results!F17</f>
        <v>1036.4423999999999</v>
      </c>
      <c r="G56" s="127">
        <f>Results!G17</f>
        <v>30.222012799999995</v>
      </c>
      <c r="H56" s="127">
        <f>Results!H17</f>
        <v>337.42502017654203</v>
      </c>
      <c r="I56" s="127">
        <f>Results!I17</f>
        <v>36385.12079999999</v>
      </c>
      <c r="J56" s="127">
        <f>Results!J17</f>
        <v>77.233870085400042</v>
      </c>
      <c r="K56" s="127">
        <f>Results!K17</f>
        <v>30.783679031037089</v>
      </c>
      <c r="L56" s="135">
        <f>Results!L17</f>
        <v>37897.227782092974</v>
      </c>
      <c r="M56" s="135">
        <f t="shared" si="3"/>
        <v>37897.227782092974</v>
      </c>
      <c r="N56" s="135">
        <f>Results!N17</f>
        <v>-37897.227782092974</v>
      </c>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x14ac:dyDescent="0.3">
      <c r="A57" s="1"/>
      <c r="B57" s="1"/>
      <c r="C57" s="1"/>
      <c r="D57" s="2"/>
      <c r="E57" s="83" t="str">
        <f>Results!E18</f>
        <v>Cefazolin IV</v>
      </c>
      <c r="F57" s="127">
        <f>Results!F18</f>
        <v>126</v>
      </c>
      <c r="G57" s="127">
        <f>Results!G18</f>
        <v>30.222012799999995</v>
      </c>
      <c r="H57" s="127">
        <f>Results!H18</f>
        <v>337.42502017654203</v>
      </c>
      <c r="I57" s="127">
        <f>Results!I18</f>
        <v>36385.12079999999</v>
      </c>
      <c r="J57" s="127">
        <f>Results!J18</f>
        <v>133.63241359410023</v>
      </c>
      <c r="K57" s="127">
        <f>Results!K18</f>
        <v>30.783679031037089</v>
      </c>
      <c r="L57" s="135">
        <f>Results!L18</f>
        <v>37043.183925601676</v>
      </c>
      <c r="M57" s="135">
        <f t="shared" si="3"/>
        <v>37043.183925601676</v>
      </c>
      <c r="N57" s="135">
        <f>Results!N18</f>
        <v>-37043.183925601676</v>
      </c>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x14ac:dyDescent="0.3">
      <c r="A58" s="1"/>
      <c r="B58" s="1"/>
      <c r="C58" s="1"/>
      <c r="D58" s="2"/>
      <c r="E58" s="83" t="str">
        <f>Results!E19</f>
        <v>Ceftriaxone IV</v>
      </c>
      <c r="F58" s="127">
        <f>Results!F19</f>
        <v>174.86</v>
      </c>
      <c r="G58" s="127">
        <f>Results!G19</f>
        <v>30.222012799999995</v>
      </c>
      <c r="H58" s="127">
        <f>Results!H19</f>
        <v>337.42502017654203</v>
      </c>
      <c r="I58" s="127">
        <f>Results!I19</f>
        <v>36385.12079999999</v>
      </c>
      <c r="J58" s="127">
        <f>Results!J19</f>
        <v>51.012775303982679</v>
      </c>
      <c r="K58" s="127">
        <f>Results!K19</f>
        <v>42.155427706283113</v>
      </c>
      <c r="L58" s="135">
        <f>Results!L19</f>
        <v>37020.796035986801</v>
      </c>
      <c r="M58" s="135">
        <f t="shared" si="3"/>
        <v>37020.796035986801</v>
      </c>
      <c r="N58" s="135">
        <f>Results!N19</f>
        <v>-37020.796035986801</v>
      </c>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x14ac:dyDescent="0.3">
      <c r="A59" s="1"/>
      <c r="B59" s="1"/>
      <c r="C59" s="1"/>
      <c r="D59" s="2"/>
      <c r="E59" s="83" t="str">
        <f>Results!E20</f>
        <v>Other</v>
      </c>
      <c r="F59" s="127">
        <f>Results!F20</f>
        <v>0</v>
      </c>
      <c r="G59" s="127">
        <f>Results!G20</f>
        <v>30.222012799999995</v>
      </c>
      <c r="H59" s="127">
        <f>Results!H20</f>
        <v>0</v>
      </c>
      <c r="I59" s="127">
        <f>Results!I20</f>
        <v>0</v>
      </c>
      <c r="J59" s="127">
        <f>Results!J20</f>
        <v>0</v>
      </c>
      <c r="K59" s="127">
        <f>Results!K20</f>
        <v>0</v>
      </c>
      <c r="L59" s="135">
        <f>Results!L20</f>
        <v>30.222012799999995</v>
      </c>
      <c r="M59" s="135">
        <f t="shared" si="3"/>
        <v>30.222012799999995</v>
      </c>
      <c r="N59" s="135" t="str">
        <f>Results!N20</f>
        <v>-</v>
      </c>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x14ac:dyDescent="0.3">
      <c r="A60" s="1"/>
      <c r="B60" s="1"/>
      <c r="C60" s="1"/>
      <c r="D60" s="2"/>
      <c r="E60" s="83"/>
      <c r="F60" s="83" t="s">
        <v>283</v>
      </c>
      <c r="G60" s="83"/>
      <c r="H60" s="83"/>
      <c r="I60" s="83"/>
      <c r="J60" s="83"/>
      <c r="K60" s="83"/>
      <c r="L60" s="83"/>
      <c r="M60" s="83"/>
      <c r="N60" s="83"/>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ht="58.8" x14ac:dyDescent="0.4">
      <c r="A61" s="1"/>
      <c r="B61" s="1"/>
      <c r="C61" s="1"/>
      <c r="D61" s="2"/>
      <c r="E61" s="141" t="s">
        <v>177</v>
      </c>
      <c r="F61" s="98" t="s">
        <v>169</v>
      </c>
      <c r="G61" s="98" t="s">
        <v>170</v>
      </c>
      <c r="H61" s="98" t="s">
        <v>171</v>
      </c>
      <c r="I61" s="99" t="s">
        <v>172</v>
      </c>
      <c r="J61" s="98" t="s">
        <v>173</v>
      </c>
      <c r="K61" s="98" t="s">
        <v>174</v>
      </c>
      <c r="L61" s="98" t="s">
        <v>175</v>
      </c>
      <c r="M61" s="98" t="s">
        <v>176</v>
      </c>
      <c r="N61" s="98" t="s">
        <v>282</v>
      </c>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x14ac:dyDescent="0.3">
      <c r="A62" s="1"/>
      <c r="B62" s="1"/>
      <c r="C62" s="1"/>
      <c r="D62" s="2"/>
      <c r="E62" s="83"/>
      <c r="F62" s="83"/>
      <c r="G62" s="83"/>
      <c r="H62" s="83"/>
      <c r="I62" s="83"/>
      <c r="J62" s="83"/>
      <c r="K62" s="83"/>
      <c r="L62" s="83"/>
      <c r="M62" s="83"/>
      <c r="N62" s="83"/>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x14ac:dyDescent="0.3">
      <c r="A63" s="1"/>
      <c r="B63" s="1"/>
      <c r="C63" s="1"/>
      <c r="D63" s="2"/>
      <c r="E63" s="83" t="str">
        <f t="shared" ref="E63:E69" si="4">E53</f>
        <v>Xydalba IV</v>
      </c>
      <c r="F63" s="127">
        <f>Results!F24</f>
        <v>2871.5</v>
      </c>
      <c r="G63" s="127">
        <f>Results!G24</f>
        <v>0</v>
      </c>
      <c r="H63" s="127">
        <f>Results!H24</f>
        <v>0</v>
      </c>
      <c r="I63" s="156">
        <f>Results!I24</f>
        <v>0</v>
      </c>
      <c r="J63" s="127">
        <f>Results!J24</f>
        <v>0</v>
      </c>
      <c r="K63" s="127">
        <f>Results!K24</f>
        <v>0</v>
      </c>
      <c r="L63" s="135">
        <f>Results!L24</f>
        <v>2871.5</v>
      </c>
      <c r="M63" s="135">
        <f t="shared" ref="M63:M69" si="5">L63*r_n2</f>
        <v>2871.5</v>
      </c>
      <c r="N63" s="135"/>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x14ac:dyDescent="0.3">
      <c r="A64" s="1"/>
      <c r="B64" s="1"/>
      <c r="C64" s="1"/>
      <c r="D64" s="2"/>
      <c r="E64" s="83" t="str">
        <f t="shared" si="4"/>
        <v>Vancomycin IV</v>
      </c>
      <c r="F64" s="127">
        <f>Results!F25</f>
        <v>82.636399999999995</v>
      </c>
      <c r="G64" s="127">
        <f>Results!G25</f>
        <v>30.222012799999995</v>
      </c>
      <c r="H64" s="127">
        <f>Results!H25</f>
        <v>0</v>
      </c>
      <c r="I64" s="156">
        <f>Results!I25</f>
        <v>0</v>
      </c>
      <c r="J64" s="127">
        <f>Results!J25</f>
        <v>311.66684085510695</v>
      </c>
      <c r="K64" s="127">
        <f>Results!K25</f>
        <v>0</v>
      </c>
      <c r="L64" s="135">
        <f>Results!L25</f>
        <v>424.52525365510695</v>
      </c>
      <c r="M64" s="135">
        <f t="shared" si="5"/>
        <v>424.52525365510695</v>
      </c>
      <c r="N64" s="135">
        <f>Results!N25</f>
        <v>2446.974746344893</v>
      </c>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row r="65" spans="1:47" x14ac:dyDescent="0.3">
      <c r="A65" s="1"/>
      <c r="B65" s="1"/>
      <c r="C65" s="1"/>
      <c r="D65" s="2"/>
      <c r="E65" s="83" t="str">
        <f t="shared" si="4"/>
        <v>Linezolid IV</v>
      </c>
      <c r="F65" s="127">
        <f>Results!F26</f>
        <v>0</v>
      </c>
      <c r="G65" s="127">
        <f>Results!G26</f>
        <v>0</v>
      </c>
      <c r="H65" s="127">
        <f>Results!H26</f>
        <v>0</v>
      </c>
      <c r="I65" s="156">
        <f>Results!I26</f>
        <v>0</v>
      </c>
      <c r="J65" s="127">
        <f>Results!J26</f>
        <v>0</v>
      </c>
      <c r="K65" s="127">
        <f>Results!K26</f>
        <v>0</v>
      </c>
      <c r="L65" s="135">
        <f>Results!L26</f>
        <v>0</v>
      </c>
      <c r="M65" s="135">
        <f t="shared" si="5"/>
        <v>0</v>
      </c>
      <c r="N65" s="135">
        <f>Results!N26</f>
        <v>2871.5</v>
      </c>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row>
    <row r="66" spans="1:47" x14ac:dyDescent="0.3">
      <c r="A66" s="1"/>
      <c r="B66" s="1"/>
      <c r="C66" s="1"/>
      <c r="D66" s="2"/>
      <c r="E66" s="83" t="str">
        <f t="shared" si="4"/>
        <v>Daptomycin</v>
      </c>
      <c r="F66" s="127">
        <f>Results!F27</f>
        <v>0</v>
      </c>
      <c r="G66" s="127">
        <f>Results!G27</f>
        <v>0</v>
      </c>
      <c r="H66" s="127">
        <f>Results!H27</f>
        <v>0</v>
      </c>
      <c r="I66" s="156">
        <f>Results!I27</f>
        <v>0</v>
      </c>
      <c r="J66" s="127">
        <f>Results!J27</f>
        <v>0</v>
      </c>
      <c r="K66" s="127">
        <f>Results!K27</f>
        <v>0</v>
      </c>
      <c r="L66" s="135">
        <f>Results!L27</f>
        <v>0</v>
      </c>
      <c r="M66" s="135">
        <f t="shared" si="5"/>
        <v>0</v>
      </c>
      <c r="N66" s="135">
        <f>Results!N27</f>
        <v>2871.5</v>
      </c>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row>
    <row r="67" spans="1:47" x14ac:dyDescent="0.3">
      <c r="A67" s="1"/>
      <c r="B67" s="1"/>
      <c r="C67" s="1"/>
      <c r="D67" s="2"/>
      <c r="E67" s="83" t="str">
        <f t="shared" si="4"/>
        <v>Cefazolin IV</v>
      </c>
      <c r="F67" s="127">
        <f>Results!F28</f>
        <v>0</v>
      </c>
      <c r="G67" s="127">
        <f>Results!G28</f>
        <v>0</v>
      </c>
      <c r="H67" s="127">
        <f>Results!H28</f>
        <v>0</v>
      </c>
      <c r="I67" s="156">
        <f>Results!I28</f>
        <v>0</v>
      </c>
      <c r="J67" s="127">
        <f>Results!J28</f>
        <v>0</v>
      </c>
      <c r="K67" s="127">
        <f>Results!K28</f>
        <v>0</v>
      </c>
      <c r="L67" s="135">
        <f>Results!L28</f>
        <v>0</v>
      </c>
      <c r="M67" s="135">
        <f t="shared" si="5"/>
        <v>0</v>
      </c>
      <c r="N67" s="135">
        <f>Results!N28</f>
        <v>2871.5</v>
      </c>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row>
    <row r="68" spans="1:47" x14ac:dyDescent="0.3">
      <c r="A68" s="1"/>
      <c r="B68" s="1"/>
      <c r="C68" s="1"/>
      <c r="D68" s="2"/>
      <c r="E68" s="83" t="str">
        <f t="shared" si="4"/>
        <v>Ceftriaxone IV</v>
      </c>
      <c r="F68" s="127">
        <f>Results!F29</f>
        <v>0</v>
      </c>
      <c r="G68" s="127">
        <f>Results!G29</f>
        <v>0</v>
      </c>
      <c r="H68" s="127">
        <f>Results!H29</f>
        <v>0</v>
      </c>
      <c r="I68" s="156">
        <f>Results!I29</f>
        <v>0</v>
      </c>
      <c r="J68" s="127">
        <f>Results!J29</f>
        <v>0</v>
      </c>
      <c r="K68" s="127">
        <f>Results!K29</f>
        <v>0</v>
      </c>
      <c r="L68" s="135">
        <f>Results!L29</f>
        <v>0</v>
      </c>
      <c r="M68" s="135">
        <f t="shared" si="5"/>
        <v>0</v>
      </c>
      <c r="N68" s="135">
        <f>Results!N29</f>
        <v>2871.5</v>
      </c>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row>
    <row r="69" spans="1:47" x14ac:dyDescent="0.3">
      <c r="A69" s="1"/>
      <c r="B69" s="1"/>
      <c r="C69" s="1"/>
      <c r="D69" s="2"/>
      <c r="E69" s="83" t="str">
        <f t="shared" si="4"/>
        <v>Other</v>
      </c>
      <c r="F69" s="127">
        <f>Results!F30</f>
        <v>0</v>
      </c>
      <c r="G69" s="127">
        <f>Results!G30</f>
        <v>0</v>
      </c>
      <c r="H69" s="127">
        <f>Results!H30</f>
        <v>0</v>
      </c>
      <c r="I69" s="156">
        <f>Results!I30</f>
        <v>0</v>
      </c>
      <c r="J69" s="127">
        <f>Results!J30</f>
        <v>0</v>
      </c>
      <c r="K69" s="127">
        <f>Results!K30</f>
        <v>0</v>
      </c>
      <c r="L69" s="135">
        <f>Results!L30</f>
        <v>0</v>
      </c>
      <c r="M69" s="135">
        <f t="shared" si="5"/>
        <v>0</v>
      </c>
      <c r="N69" s="135" t="str">
        <f>Results!N30</f>
        <v>-</v>
      </c>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row>
    <row r="70" spans="1:47" x14ac:dyDescent="0.3">
      <c r="A70" s="1"/>
      <c r="B70" s="1"/>
      <c r="C70" s="1"/>
      <c r="D70" s="2"/>
      <c r="E70" s="83"/>
      <c r="F70" s="83" t="s">
        <v>283</v>
      </c>
      <c r="G70" s="83"/>
      <c r="H70" s="83"/>
      <c r="I70" s="83"/>
      <c r="J70" s="83"/>
      <c r="K70" s="83"/>
      <c r="L70" s="83"/>
      <c r="M70" s="83"/>
      <c r="N70" s="83"/>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row>
    <row r="71" spans="1:47" ht="73.2" x14ac:dyDescent="0.4">
      <c r="A71" s="1"/>
      <c r="B71" s="1"/>
      <c r="C71" s="1"/>
      <c r="D71" s="2"/>
      <c r="E71" s="141" t="s">
        <v>197</v>
      </c>
      <c r="F71" s="98" t="s">
        <v>169</v>
      </c>
      <c r="G71" s="98" t="s">
        <v>170</v>
      </c>
      <c r="H71" s="98" t="s">
        <v>171</v>
      </c>
      <c r="I71" s="99" t="s">
        <v>172</v>
      </c>
      <c r="J71" s="98" t="s">
        <v>173</v>
      </c>
      <c r="K71" s="98" t="s">
        <v>174</v>
      </c>
      <c r="L71" s="98" t="s">
        <v>198</v>
      </c>
      <c r="M71" s="99" t="s">
        <v>324</v>
      </c>
      <c r="N71" s="98" t="s">
        <v>175</v>
      </c>
      <c r="O71" s="98" t="s">
        <v>176</v>
      </c>
      <c r="P71" s="98" t="s">
        <v>282</v>
      </c>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row>
    <row r="72" spans="1:47" x14ac:dyDescent="0.3">
      <c r="A72" s="1"/>
      <c r="B72" s="1"/>
      <c r="C72" s="1"/>
      <c r="D72" s="2"/>
      <c r="E72" s="83"/>
      <c r="F72" s="83"/>
      <c r="G72" s="83"/>
      <c r="H72" s="83"/>
      <c r="I72" s="83"/>
      <c r="J72" s="83"/>
      <c r="K72" s="83"/>
      <c r="L72" s="83"/>
      <c r="M72" s="83"/>
      <c r="N72" s="83"/>
      <c r="O72" s="83"/>
      <c r="P72" s="83"/>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row>
    <row r="73" spans="1:47" x14ac:dyDescent="0.3">
      <c r="A73" s="1"/>
      <c r="B73" s="1"/>
      <c r="C73" s="1"/>
      <c r="D73" s="2"/>
      <c r="E73" s="83" t="str">
        <f t="shared" ref="E73:E79" si="6">E63</f>
        <v>Xydalba IV</v>
      </c>
      <c r="F73" s="127">
        <f t="shared" ref="F73:F79" si="7">SUM(F53,F63)</f>
        <v>2871.5</v>
      </c>
      <c r="G73" s="127">
        <f t="shared" ref="G73:K73" si="8">SUM(G53,G63)</f>
        <v>0</v>
      </c>
      <c r="H73" s="127">
        <f t="shared" si="8"/>
        <v>0</v>
      </c>
      <c r="I73" s="127">
        <f t="shared" si="8"/>
        <v>0</v>
      </c>
      <c r="J73" s="127">
        <f t="shared" si="8"/>
        <v>0</v>
      </c>
      <c r="K73" s="127">
        <f t="shared" si="8"/>
        <v>0</v>
      </c>
      <c r="L73" s="127">
        <f t="shared" ref="L73:L79" si="9">G16</f>
        <v>0</v>
      </c>
      <c r="M73" s="127">
        <f t="shared" ref="M73:M79" si="10">J36</f>
        <v>0</v>
      </c>
      <c r="N73" s="135">
        <f>SUM(F73:M73)</f>
        <v>2871.5</v>
      </c>
      <c r="O73" s="135">
        <f t="shared" ref="O73:O79" si="11">N73*r_n2</f>
        <v>2871.5</v>
      </c>
      <c r="P73" s="135"/>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row>
    <row r="74" spans="1:47" x14ac:dyDescent="0.3">
      <c r="A74" s="1"/>
      <c r="B74" s="1"/>
      <c r="C74" s="1"/>
      <c r="D74" s="2"/>
      <c r="E74" s="83" t="str">
        <f t="shared" si="6"/>
        <v>Vancomycin IV</v>
      </c>
      <c r="F74" s="127">
        <f t="shared" si="7"/>
        <v>262.93399999999997</v>
      </c>
      <c r="G74" s="127">
        <f t="shared" ref="G74:K79" si="12">SUM(G54,G64)</f>
        <v>30.222012799999995</v>
      </c>
      <c r="H74" s="127">
        <f t="shared" si="12"/>
        <v>337.42502017654203</v>
      </c>
      <c r="I74" s="127">
        <f t="shared" si="12"/>
        <v>36385.12079999999</v>
      </c>
      <c r="J74" s="127">
        <f t="shared" si="12"/>
        <v>425.10825654449184</v>
      </c>
      <c r="K74" s="127">
        <f t="shared" si="12"/>
        <v>63.166510219530657</v>
      </c>
      <c r="L74" s="127">
        <f t="shared" si="9"/>
        <v>1973.6240000000003</v>
      </c>
      <c r="M74" s="127">
        <f t="shared" si="10"/>
        <v>87.527999999999992</v>
      </c>
      <c r="N74" s="135">
        <f>SUM(F74:M74)</f>
        <v>39565.128599740558</v>
      </c>
      <c r="O74" s="135">
        <f t="shared" si="11"/>
        <v>39565.128599740558</v>
      </c>
      <c r="P74" s="135">
        <f>O$73-O74</f>
        <v>-36693.628599740558</v>
      </c>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row>
    <row r="75" spans="1:47" x14ac:dyDescent="0.3">
      <c r="A75" s="1"/>
      <c r="B75" s="1"/>
      <c r="C75" s="1"/>
      <c r="D75" s="2"/>
      <c r="E75" s="83" t="str">
        <f t="shared" si="6"/>
        <v>Linezolid IV</v>
      </c>
      <c r="F75" s="127">
        <f t="shared" si="7"/>
        <v>1242.3600000000001</v>
      </c>
      <c r="G75" s="127">
        <f t="shared" si="12"/>
        <v>30.222012799999995</v>
      </c>
      <c r="H75" s="127">
        <f t="shared" si="12"/>
        <v>337.42502017654203</v>
      </c>
      <c r="I75" s="127">
        <f t="shared" si="12"/>
        <v>36385.12079999999</v>
      </c>
      <c r="J75" s="127">
        <f t="shared" si="12"/>
        <v>88.811039709970601</v>
      </c>
      <c r="K75" s="127">
        <f t="shared" si="12"/>
        <v>20.211506434519301</v>
      </c>
      <c r="L75" s="127">
        <f t="shared" si="9"/>
        <v>1973.6240000000003</v>
      </c>
      <c r="M75" s="127">
        <f t="shared" si="10"/>
        <v>87.527999999999992</v>
      </c>
      <c r="N75" s="135">
        <f t="shared" ref="N75:N78" si="13">SUM(F75:M75)</f>
        <v>40165.302379121029</v>
      </c>
      <c r="O75" s="135">
        <f t="shared" si="11"/>
        <v>40165.302379121029</v>
      </c>
      <c r="P75" s="135">
        <f t="shared" ref="P75:P78" si="14">O$73-O75</f>
        <v>-37293.802379121029</v>
      </c>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row>
    <row r="76" spans="1:47" x14ac:dyDescent="0.3">
      <c r="A76" s="1"/>
      <c r="B76" s="1"/>
      <c r="C76" s="1"/>
      <c r="D76" s="2"/>
      <c r="E76" s="83" t="str">
        <f t="shared" si="6"/>
        <v>Daptomycin</v>
      </c>
      <c r="F76" s="127">
        <f t="shared" si="7"/>
        <v>1036.4423999999999</v>
      </c>
      <c r="G76" s="127">
        <f t="shared" si="12"/>
        <v>30.222012799999995</v>
      </c>
      <c r="H76" s="127">
        <f t="shared" si="12"/>
        <v>337.42502017654203</v>
      </c>
      <c r="I76" s="127">
        <f t="shared" si="12"/>
        <v>36385.12079999999</v>
      </c>
      <c r="J76" s="127">
        <f t="shared" si="12"/>
        <v>77.233870085400042</v>
      </c>
      <c r="K76" s="127">
        <f t="shared" si="12"/>
        <v>30.783679031037089</v>
      </c>
      <c r="L76" s="127">
        <f t="shared" si="9"/>
        <v>1973.6240000000003</v>
      </c>
      <c r="M76" s="127">
        <f t="shared" si="10"/>
        <v>87.527999999999992</v>
      </c>
      <c r="N76" s="135">
        <f t="shared" si="13"/>
        <v>39958.379782092976</v>
      </c>
      <c r="O76" s="135">
        <f t="shared" si="11"/>
        <v>39958.379782092976</v>
      </c>
      <c r="P76" s="135">
        <f t="shared" si="14"/>
        <v>-37086.879782092976</v>
      </c>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row>
    <row r="77" spans="1:47" x14ac:dyDescent="0.3">
      <c r="A77" s="1"/>
      <c r="B77" s="1"/>
      <c r="C77" s="1"/>
      <c r="D77" s="2"/>
      <c r="E77" s="83" t="str">
        <f t="shared" si="6"/>
        <v>Cefazolin IV</v>
      </c>
      <c r="F77" s="127">
        <f t="shared" si="7"/>
        <v>126</v>
      </c>
      <c r="G77" s="127">
        <f t="shared" si="12"/>
        <v>30.222012799999995</v>
      </c>
      <c r="H77" s="127">
        <f t="shared" si="12"/>
        <v>337.42502017654203</v>
      </c>
      <c r="I77" s="127">
        <f t="shared" si="12"/>
        <v>36385.12079999999</v>
      </c>
      <c r="J77" s="127">
        <f t="shared" si="12"/>
        <v>133.63241359410023</v>
      </c>
      <c r="K77" s="127">
        <f t="shared" si="12"/>
        <v>30.783679031037089</v>
      </c>
      <c r="L77" s="127">
        <f t="shared" si="9"/>
        <v>1973.6240000000003</v>
      </c>
      <c r="M77" s="127">
        <f t="shared" si="10"/>
        <v>87.527999999999992</v>
      </c>
      <c r="N77" s="135">
        <f t="shared" si="13"/>
        <v>39104.335925601677</v>
      </c>
      <c r="O77" s="135">
        <f t="shared" si="11"/>
        <v>39104.335925601677</v>
      </c>
      <c r="P77" s="135">
        <f t="shared" si="14"/>
        <v>-36232.835925601677</v>
      </c>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row>
    <row r="78" spans="1:47" x14ac:dyDescent="0.3">
      <c r="A78" s="1"/>
      <c r="B78" s="1"/>
      <c r="C78" s="1"/>
      <c r="D78" s="2"/>
      <c r="E78" s="83" t="str">
        <f t="shared" si="6"/>
        <v>Ceftriaxone IV</v>
      </c>
      <c r="F78" s="127">
        <f t="shared" si="7"/>
        <v>174.86</v>
      </c>
      <c r="G78" s="127">
        <f t="shared" si="12"/>
        <v>30.222012799999995</v>
      </c>
      <c r="H78" s="127">
        <f t="shared" si="12"/>
        <v>337.42502017654203</v>
      </c>
      <c r="I78" s="127">
        <f t="shared" si="12"/>
        <v>36385.12079999999</v>
      </c>
      <c r="J78" s="127">
        <f t="shared" si="12"/>
        <v>51.012775303982679</v>
      </c>
      <c r="K78" s="127">
        <f t="shared" si="12"/>
        <v>42.155427706283113</v>
      </c>
      <c r="L78" s="127">
        <f t="shared" si="9"/>
        <v>1973.6240000000003</v>
      </c>
      <c r="M78" s="127">
        <f t="shared" si="10"/>
        <v>87.527999999999992</v>
      </c>
      <c r="N78" s="135">
        <f t="shared" si="13"/>
        <v>39081.948035986803</v>
      </c>
      <c r="O78" s="135">
        <f t="shared" si="11"/>
        <v>39081.948035986803</v>
      </c>
      <c r="P78" s="135">
        <f t="shared" si="14"/>
        <v>-36210.448035986803</v>
      </c>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row>
    <row r="79" spans="1:47" x14ac:dyDescent="0.3">
      <c r="A79" s="1"/>
      <c r="B79" s="1"/>
      <c r="C79" s="1"/>
      <c r="D79" s="2"/>
      <c r="E79" s="83" t="str">
        <f t="shared" si="6"/>
        <v>Other</v>
      </c>
      <c r="F79" s="127">
        <f t="shared" si="7"/>
        <v>0</v>
      </c>
      <c r="G79" s="127">
        <f t="shared" si="12"/>
        <v>30.222012799999995</v>
      </c>
      <c r="H79" s="127">
        <f t="shared" si="12"/>
        <v>0</v>
      </c>
      <c r="I79" s="127">
        <f t="shared" si="12"/>
        <v>0</v>
      </c>
      <c r="J79" s="127">
        <f t="shared" si="12"/>
        <v>0</v>
      </c>
      <c r="K79" s="127">
        <f t="shared" si="12"/>
        <v>0</v>
      </c>
      <c r="L79" s="127">
        <f t="shared" si="9"/>
        <v>0</v>
      </c>
      <c r="M79" s="127">
        <f t="shared" si="10"/>
        <v>0</v>
      </c>
      <c r="N79" s="135">
        <f t="shared" ref="N79" si="15">SUM(F79:M79)</f>
        <v>30.222012799999995</v>
      </c>
      <c r="O79" s="135">
        <f t="shared" si="11"/>
        <v>30.222012799999995</v>
      </c>
      <c r="P79" s="135" t="str">
        <f>IF(F79&gt;0,O$73-O79,"-")</f>
        <v>-</v>
      </c>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row>
    <row r="80" spans="1:47" x14ac:dyDescent="0.3">
      <c r="A80" s="1"/>
      <c r="B80" s="1"/>
      <c r="C80" s="1"/>
      <c r="D80" s="2"/>
      <c r="E80" s="2"/>
      <c r="F80" s="83" t="s">
        <v>283</v>
      </c>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row>
    <row r="81" spans="1:45" x14ac:dyDescent="0.3">
      <c r="A81" s="1"/>
      <c r="B81" s="1"/>
      <c r="C81" s="1"/>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row>
    <row r="82" spans="1:45" x14ac:dyDescent="0.3">
      <c r="A82" s="1"/>
      <c r="B82" s="1"/>
      <c r="C82" s="1"/>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row>
    <row r="83" spans="1:45" x14ac:dyDescent="0.3">
      <c r="A83" s="1"/>
      <c r="B83" s="1"/>
      <c r="C83" s="1"/>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row>
    <row r="84" spans="1:45" x14ac:dyDescent="0.3">
      <c r="A84" s="1"/>
      <c r="B84" s="1"/>
      <c r="C84" s="1"/>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row>
    <row r="85" spans="1:45" x14ac:dyDescent="0.3">
      <c r="A85" s="1"/>
      <c r="B85" s="1"/>
      <c r="C85" s="1"/>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row>
    <row r="86" spans="1:45" x14ac:dyDescent="0.3">
      <c r="A86" s="1"/>
      <c r="B86" s="1"/>
      <c r="C86" s="1"/>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row>
    <row r="87" spans="1:45" x14ac:dyDescent="0.3">
      <c r="A87" s="1"/>
      <c r="B87" s="1"/>
      <c r="C87" s="1"/>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row>
    <row r="88" spans="1:45" x14ac:dyDescent="0.3">
      <c r="A88" s="1"/>
      <c r="B88" s="1"/>
      <c r="C88" s="1"/>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row>
    <row r="89" spans="1:45" x14ac:dyDescent="0.3">
      <c r="A89" s="1"/>
      <c r="B89" s="1"/>
      <c r="C89" s="1"/>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row>
    <row r="90" spans="1:45" x14ac:dyDescent="0.3">
      <c r="A90" s="1"/>
      <c r="B90" s="1"/>
      <c r="C90" s="1"/>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row>
    <row r="91" spans="1:45" x14ac:dyDescent="0.3">
      <c r="A91" s="1"/>
      <c r="B91" s="1"/>
      <c r="C91" s="1"/>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row>
    <row r="92" spans="1:45" x14ac:dyDescent="0.3">
      <c r="A92" s="1"/>
      <c r="B92" s="1"/>
      <c r="C92" s="1"/>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row>
    <row r="93" spans="1:45" x14ac:dyDescent="0.3">
      <c r="A93" s="1"/>
      <c r="B93" s="1"/>
      <c r="C93" s="1"/>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row>
    <row r="94" spans="1:45" x14ac:dyDescent="0.3">
      <c r="A94" s="1"/>
      <c r="B94" s="1"/>
      <c r="C94" s="1"/>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row>
    <row r="95" spans="1:45" x14ac:dyDescent="0.3">
      <c r="A95" s="1"/>
      <c r="B95" s="1"/>
      <c r="C95" s="1"/>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row>
    <row r="96" spans="1:45" x14ac:dyDescent="0.3">
      <c r="A96" s="1"/>
      <c r="B96" s="1"/>
      <c r="C96" s="1"/>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row>
    <row r="97" spans="1:45" x14ac:dyDescent="0.3">
      <c r="A97" s="1"/>
      <c r="B97" s="1"/>
      <c r="C97" s="1"/>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row>
    <row r="98" spans="1:45" x14ac:dyDescent="0.3">
      <c r="A98" s="1"/>
      <c r="B98" s="1"/>
      <c r="C98" s="1"/>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row>
    <row r="99" spans="1:45" x14ac:dyDescent="0.3">
      <c r="A99" s="1"/>
      <c r="B99" s="1"/>
      <c r="C99" s="1"/>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row>
    <row r="100" spans="1:45" x14ac:dyDescent="0.3">
      <c r="A100" s="1"/>
      <c r="B100" s="1"/>
      <c r="C100" s="1"/>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row>
    <row r="101" spans="1:45" x14ac:dyDescent="0.3">
      <c r="A101" s="1"/>
      <c r="B101" s="1"/>
      <c r="C101" s="1"/>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row>
    <row r="102" spans="1:45" x14ac:dyDescent="0.3">
      <c r="A102" s="1"/>
      <c r="B102" s="1"/>
      <c r="C102" s="1"/>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row>
    <row r="103" spans="1:45" x14ac:dyDescent="0.3">
      <c r="A103" s="1"/>
      <c r="B103" s="1"/>
      <c r="C103" s="1"/>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row>
    <row r="104" spans="1:45" x14ac:dyDescent="0.3">
      <c r="A104" s="1"/>
      <c r="B104" s="1"/>
      <c r="C104" s="1"/>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row>
    <row r="105" spans="1:45" x14ac:dyDescent="0.3">
      <c r="A105" s="1"/>
      <c r="B105" s="1"/>
      <c r="C105" s="1"/>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row>
    <row r="106" spans="1:45" x14ac:dyDescent="0.3">
      <c r="A106" s="1"/>
      <c r="B106" s="1"/>
      <c r="C106" s="1"/>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row>
    <row r="107" spans="1:45" x14ac:dyDescent="0.3">
      <c r="A107" s="1"/>
      <c r="B107" s="1"/>
      <c r="C107" s="1"/>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row>
    <row r="108" spans="1:45" x14ac:dyDescent="0.3">
      <c r="A108" s="1"/>
      <c r="B108" s="1"/>
      <c r="C108" s="1"/>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row>
    <row r="109" spans="1:45" x14ac:dyDescent="0.3">
      <c r="A109" s="1"/>
      <c r="B109" s="1"/>
      <c r="C109" s="1"/>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row>
    <row r="110" spans="1:45" x14ac:dyDescent="0.3">
      <c r="A110" s="1"/>
      <c r="B110" s="1"/>
      <c r="C110" s="1"/>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row>
    <row r="111" spans="1:45" x14ac:dyDescent="0.3">
      <c r="A111" s="1"/>
      <c r="B111" s="1"/>
      <c r="C111" s="1"/>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row>
    <row r="112" spans="1:45" x14ac:dyDescent="0.3">
      <c r="A112" s="1"/>
      <c r="B112" s="1"/>
      <c r="C112" s="1"/>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row>
    <row r="113" spans="1:45" x14ac:dyDescent="0.3">
      <c r="A113" s="1"/>
      <c r="B113" s="1"/>
      <c r="C113" s="1"/>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row>
    <row r="114" spans="1:45" x14ac:dyDescent="0.3">
      <c r="A114" s="1"/>
      <c r="B114" s="1"/>
      <c r="C114" s="1"/>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row>
    <row r="115" spans="1:45" x14ac:dyDescent="0.3">
      <c r="A115" s="1"/>
      <c r="B115" s="1"/>
      <c r="C115" s="1"/>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row>
    <row r="116" spans="1:45" x14ac:dyDescent="0.3">
      <c r="A116" s="1"/>
      <c r="B116" s="1"/>
      <c r="C116" s="1"/>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row>
    <row r="117" spans="1:45" x14ac:dyDescent="0.3">
      <c r="A117" s="1"/>
      <c r="B117" s="1"/>
      <c r="C117" s="1"/>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row>
    <row r="118" spans="1:45" x14ac:dyDescent="0.3">
      <c r="A118" s="1"/>
      <c r="B118" s="1"/>
      <c r="C118" s="1"/>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row>
    <row r="119" spans="1:45" x14ac:dyDescent="0.3">
      <c r="A119" s="1"/>
      <c r="B119" s="1"/>
      <c r="C119" s="1"/>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row>
  </sheetData>
  <sheetProtection algorithmName="SHA-512" hashValue="xH1G03BTHUdWyqo0hm3V1rIntkM4Jgaw4OjrTVruaDzrRuj53OhtZPECcVGEk7QVO/tiyGT7dPsa7p9w8MogPA==" saltValue="h03LI6jp5k+V5O9pudk8eQ==" spinCount="100000" sheet="1" objects="1" scenarios="1"/>
  <mergeCells count="1">
    <mergeCell ref="E3:Q3"/>
  </mergeCells>
  <dataValidations count="1">
    <dataValidation type="list" allowBlank="1" showInputMessage="1" showErrorMessage="1" sqref="I36:I42 F16:F22 F36:G42" xr:uid="{2045F993-9F7E-4237-BD82-0BDAAC2CD23C}">
      <formula1>YesNo</formula1>
    </dataValidation>
  </dataValidations>
  <hyperlinks>
    <hyperlink ref="H11" r:id="rId1" display="https://www.ncbi.nlm.nih.gov/pmc/articles/PMC3748437/" xr:uid="{68B6F589-E62B-4208-B3D9-330653689E73}"/>
  </hyperlinks>
  <pageMargins left="0.7" right="0.7" top="0.75" bottom="0.75" header="0.3" footer="0.3"/>
  <pageSetup orientation="portrait" horizontalDpi="0" verticalDpi="0" r:id="rId2"/>
  <drawing r:id="rId3"/>
  <legacyDrawing r:id="rId4"/>
  <mc:AlternateContent xmlns:mc="http://schemas.openxmlformats.org/markup-compatibility/2006">
    <mc:Choice Requires="x14">
      <controls>
        <mc:AlternateContent xmlns:mc="http://schemas.openxmlformats.org/markup-compatibility/2006">
          <mc:Choice Requires="x14">
            <control shapeId="81921" r:id="rId5" name="Drop Down 1">
              <controlPr defaultSize="0" autoLine="0" autoPict="0">
                <anchor moveWithCells="1">
                  <from>
                    <xdr:col>5</xdr:col>
                    <xdr:colOff>876300</xdr:colOff>
                    <xdr:row>6</xdr:row>
                    <xdr:rowOff>60960</xdr:rowOff>
                  </from>
                  <to>
                    <xdr:col>9</xdr:col>
                    <xdr:colOff>243840</xdr:colOff>
                    <xdr:row>7</xdr:row>
                    <xdr:rowOff>213360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AO124"/>
  <sheetViews>
    <sheetView topLeftCell="A83" workbookViewId="0">
      <selection activeCell="B87" sqref="B87"/>
    </sheetView>
  </sheetViews>
  <sheetFormatPr defaultColWidth="8.88671875" defaultRowHeight="14.4" outlineLevelRow="2" x14ac:dyDescent="0.3"/>
  <cols>
    <col min="1" max="1" width="45.88671875" customWidth="1"/>
    <col min="2" max="2" width="15.109375" customWidth="1"/>
    <col min="3" max="3" width="19.109375" customWidth="1"/>
    <col min="4" max="4" width="22" customWidth="1"/>
    <col min="5" max="5" width="21.44140625" customWidth="1"/>
    <col min="6" max="6" width="23.109375" customWidth="1"/>
    <col min="7" max="7" width="34.44140625" customWidth="1"/>
    <col min="9" max="9" width="15.44140625" customWidth="1"/>
  </cols>
  <sheetData>
    <row r="1" spans="1:34" ht="15.45" customHeight="1" x14ac:dyDescent="0.3">
      <c r="A1" s="188" t="s">
        <v>331</v>
      </c>
      <c r="B1" s="188"/>
      <c r="C1" s="188"/>
      <c r="D1" s="188"/>
      <c r="E1" s="188"/>
      <c r="F1" s="188"/>
      <c r="G1" s="188"/>
      <c r="H1" s="188"/>
      <c r="I1" s="188"/>
      <c r="J1" s="188"/>
      <c r="K1" s="188"/>
      <c r="L1" s="188"/>
      <c r="M1" s="188"/>
      <c r="N1" s="2"/>
      <c r="O1" s="2"/>
      <c r="P1" s="2"/>
      <c r="Q1" s="2"/>
      <c r="R1" s="2"/>
      <c r="S1" s="2"/>
      <c r="T1" s="2"/>
      <c r="U1" s="2"/>
      <c r="V1" s="2"/>
      <c r="W1" s="2"/>
      <c r="X1" s="2"/>
      <c r="Y1" s="2"/>
      <c r="Z1" s="2"/>
      <c r="AA1" s="2"/>
      <c r="AB1" s="2"/>
      <c r="AC1" s="2"/>
      <c r="AD1" s="2"/>
      <c r="AE1" s="2"/>
      <c r="AF1" s="2"/>
      <c r="AG1" s="2"/>
      <c r="AH1" s="2"/>
    </row>
    <row r="2" spans="1:34" ht="15.45" customHeight="1" x14ac:dyDescent="0.3">
      <c r="A2" s="151"/>
      <c r="B2" s="2"/>
      <c r="C2" s="2"/>
      <c r="D2" s="2"/>
      <c r="E2" s="2"/>
      <c r="F2" s="35" t="s">
        <v>50</v>
      </c>
      <c r="G2" s="21"/>
      <c r="H2" s="21"/>
      <c r="I2" s="22"/>
      <c r="J2" s="2"/>
      <c r="K2" s="2"/>
      <c r="L2" s="2"/>
      <c r="M2" s="2"/>
      <c r="N2" s="2"/>
      <c r="O2" s="2"/>
      <c r="P2" s="2"/>
      <c r="Q2" s="2"/>
      <c r="R2" s="2"/>
      <c r="S2" s="2"/>
      <c r="T2" s="2"/>
      <c r="U2" s="2"/>
      <c r="V2" s="2"/>
      <c r="W2" s="2"/>
      <c r="X2" s="2"/>
      <c r="Y2" s="2"/>
      <c r="Z2" s="2"/>
      <c r="AA2" s="2"/>
      <c r="AB2" s="2"/>
      <c r="AC2" s="2"/>
      <c r="AD2" s="2"/>
    </row>
    <row r="3" spans="1:34" x14ac:dyDescent="0.3">
      <c r="A3" s="2"/>
      <c r="B3" s="2"/>
      <c r="C3" s="2"/>
      <c r="D3" s="2"/>
      <c r="E3" s="2"/>
      <c r="F3" s="23">
        <v>1</v>
      </c>
      <c r="G3" s="2" t="s">
        <v>223</v>
      </c>
      <c r="H3" s="2"/>
      <c r="I3" s="24"/>
      <c r="J3" s="2">
        <v>1500</v>
      </c>
      <c r="K3" s="2"/>
      <c r="L3" s="2"/>
      <c r="M3" s="2"/>
      <c r="N3" s="2"/>
      <c r="O3" s="2"/>
      <c r="P3" s="2"/>
      <c r="Q3" s="2"/>
      <c r="R3" s="2"/>
      <c r="S3" s="2"/>
      <c r="T3" s="2"/>
      <c r="U3" s="2"/>
      <c r="V3" s="2"/>
      <c r="W3" s="2"/>
      <c r="X3" s="2"/>
      <c r="Y3" s="2"/>
      <c r="Z3" s="2"/>
      <c r="AA3" s="2"/>
      <c r="AB3" s="2"/>
      <c r="AC3" s="2"/>
      <c r="AD3" s="2"/>
    </row>
    <row r="4" spans="1:34" x14ac:dyDescent="0.3">
      <c r="A4" s="2"/>
      <c r="B4" s="2"/>
      <c r="C4" s="2"/>
      <c r="D4" s="2"/>
      <c r="E4" s="2"/>
      <c r="F4" s="23">
        <v>2</v>
      </c>
      <c r="G4" s="2" t="s">
        <v>224</v>
      </c>
      <c r="H4" s="2"/>
      <c r="I4" s="24"/>
      <c r="J4" s="2">
        <v>1000</v>
      </c>
      <c r="K4" s="2"/>
      <c r="L4" s="2"/>
      <c r="M4" s="2"/>
      <c r="N4" s="2"/>
      <c r="O4" s="2"/>
      <c r="P4" s="2"/>
      <c r="Q4" s="2"/>
      <c r="R4" s="2"/>
      <c r="S4" s="2"/>
      <c r="T4" s="2"/>
      <c r="U4" s="2"/>
      <c r="V4" s="2"/>
      <c r="W4" s="2"/>
      <c r="X4" s="2"/>
      <c r="Y4" s="2"/>
      <c r="Z4" s="2"/>
      <c r="AA4" s="2"/>
      <c r="AB4" s="2"/>
      <c r="AC4" s="2"/>
      <c r="AD4" s="2"/>
    </row>
    <row r="5" spans="1:34" ht="15.6" x14ac:dyDescent="0.3">
      <c r="A5" s="2"/>
      <c r="B5" s="2"/>
      <c r="C5" s="34"/>
      <c r="D5" s="2"/>
      <c r="E5" s="2"/>
      <c r="F5" s="23" t="s">
        <v>225</v>
      </c>
      <c r="G5" s="2">
        <v>1</v>
      </c>
      <c r="H5" s="34" t="s">
        <v>226</v>
      </c>
      <c r="I5" s="24"/>
      <c r="J5" s="2"/>
      <c r="K5" s="2"/>
      <c r="L5" s="2"/>
      <c r="M5" s="2"/>
      <c r="N5" s="2"/>
      <c r="O5" s="2"/>
      <c r="P5" s="2"/>
      <c r="Q5" s="2"/>
      <c r="R5" s="2"/>
      <c r="S5" s="2"/>
      <c r="T5" s="2"/>
      <c r="U5" s="2"/>
      <c r="V5" s="2"/>
      <c r="W5" s="2"/>
      <c r="X5" s="2"/>
      <c r="Y5" s="2"/>
      <c r="Z5" s="2"/>
      <c r="AA5" s="2"/>
      <c r="AB5" s="2"/>
      <c r="AC5" s="2"/>
      <c r="AD5" s="2"/>
    </row>
    <row r="6" spans="1:34" x14ac:dyDescent="0.3">
      <c r="A6" s="2"/>
      <c r="B6" s="2"/>
      <c r="C6" s="2"/>
      <c r="D6" s="2"/>
      <c r="E6" s="2"/>
      <c r="F6" s="23" t="s">
        <v>227</v>
      </c>
      <c r="G6" s="2" t="str" cm="1">
        <f t="array" ref="G6">VLOOKUP(setting_Xyd_dose,F3:G4,2,FALSE)</f>
        <v>One dose of 1,500 mg</v>
      </c>
      <c r="H6" s="2"/>
      <c r="I6" s="24"/>
      <c r="J6" s="2"/>
      <c r="K6" s="2"/>
      <c r="L6" s="2"/>
      <c r="M6" s="2"/>
      <c r="N6" s="2"/>
      <c r="O6" s="2"/>
      <c r="P6" s="2"/>
      <c r="Q6" s="2"/>
      <c r="R6" s="2"/>
      <c r="S6" s="2"/>
      <c r="T6" s="2"/>
      <c r="U6" s="2"/>
      <c r="V6" s="2"/>
      <c r="W6" s="2"/>
      <c r="X6" s="2"/>
      <c r="Y6" s="2"/>
      <c r="Z6" s="2"/>
      <c r="AA6" s="2"/>
      <c r="AB6" s="2"/>
      <c r="AC6" s="2"/>
      <c r="AD6" s="2"/>
    </row>
    <row r="7" spans="1:34" x14ac:dyDescent="0.3">
      <c r="A7" s="2"/>
      <c r="B7" s="2"/>
      <c r="C7" s="2"/>
      <c r="D7" s="2"/>
      <c r="E7" s="2"/>
      <c r="F7" s="25"/>
      <c r="G7" s="26"/>
      <c r="H7" s="26"/>
      <c r="I7" s="27"/>
      <c r="J7" s="2"/>
      <c r="K7" s="2"/>
      <c r="L7" s="2"/>
      <c r="M7" s="2"/>
      <c r="N7" s="2"/>
      <c r="O7" s="2"/>
      <c r="P7" s="2"/>
      <c r="Q7" s="2"/>
      <c r="R7" s="2"/>
      <c r="S7" s="2"/>
      <c r="T7" s="2"/>
      <c r="U7" s="2"/>
      <c r="V7" s="2"/>
      <c r="W7" s="2"/>
      <c r="X7" s="2"/>
      <c r="Y7" s="2"/>
      <c r="Z7" s="2"/>
      <c r="AA7" s="2"/>
      <c r="AB7" s="2"/>
      <c r="AC7" s="2"/>
      <c r="AD7" s="2"/>
    </row>
    <row r="8" spans="1:34" ht="24" customHeight="1" x14ac:dyDescent="0.3">
      <c r="A8" s="2"/>
      <c r="B8" s="2"/>
      <c r="C8" s="2"/>
      <c r="D8" s="2"/>
      <c r="E8" s="2"/>
      <c r="F8" s="2"/>
      <c r="G8" s="2"/>
      <c r="H8" s="2"/>
      <c r="I8" s="2"/>
      <c r="J8" s="2"/>
      <c r="K8" s="2"/>
      <c r="L8" s="2"/>
      <c r="M8" s="2"/>
      <c r="N8" s="2"/>
      <c r="O8" s="2"/>
      <c r="P8" s="2"/>
      <c r="Q8" s="2"/>
      <c r="R8" s="2"/>
      <c r="S8" s="2"/>
      <c r="T8" s="2"/>
      <c r="U8" s="2"/>
      <c r="V8" s="2"/>
      <c r="W8" s="2"/>
      <c r="X8" s="2"/>
      <c r="Y8" s="2"/>
      <c r="Z8" s="2"/>
      <c r="AA8" s="2"/>
      <c r="AB8" s="2"/>
      <c r="AC8" s="2"/>
      <c r="AD8" s="2"/>
    </row>
    <row r="9" spans="1:34" ht="15.6" x14ac:dyDescent="0.3">
      <c r="A9" s="35" t="s">
        <v>228</v>
      </c>
      <c r="B9" s="21"/>
      <c r="C9" s="21"/>
      <c r="D9" s="22"/>
      <c r="E9" s="2"/>
      <c r="F9" s="35" t="s">
        <v>229</v>
      </c>
      <c r="G9" s="21"/>
      <c r="H9" s="21"/>
      <c r="I9" s="22"/>
      <c r="J9" s="2"/>
      <c r="K9" s="2"/>
      <c r="L9" s="2"/>
      <c r="M9" s="2"/>
      <c r="N9" s="2"/>
      <c r="O9" s="2"/>
      <c r="P9" s="2"/>
      <c r="Q9" s="2"/>
      <c r="R9" s="2"/>
      <c r="S9" s="2"/>
      <c r="T9" s="2"/>
      <c r="U9" s="2"/>
      <c r="V9" s="2"/>
      <c r="W9" s="2"/>
      <c r="X9" s="2"/>
      <c r="Y9" s="2"/>
      <c r="Z9" s="2"/>
      <c r="AA9" s="2"/>
      <c r="AB9" s="2"/>
      <c r="AC9" s="2"/>
      <c r="AD9" s="2"/>
      <c r="AE9" s="2"/>
      <c r="AF9" s="2"/>
      <c r="AG9" s="2"/>
      <c r="AH9" s="2"/>
    </row>
    <row r="10" spans="1:34" x14ac:dyDescent="0.3">
      <c r="A10" s="23">
        <v>1</v>
      </c>
      <c r="B10" s="2" t="s">
        <v>230</v>
      </c>
      <c r="C10" s="2"/>
      <c r="D10" s="24"/>
      <c r="E10" s="2"/>
      <c r="F10" s="23" t="str">
        <f>'Cost calculator'!$E92</f>
        <v>Xydalba IV</v>
      </c>
      <c r="G10" s="2" t="b">
        <v>0</v>
      </c>
      <c r="H10" s="2"/>
      <c r="I10" s="24"/>
      <c r="J10" s="2"/>
      <c r="K10" s="2"/>
      <c r="L10" s="2"/>
      <c r="M10" s="2"/>
      <c r="N10" s="2"/>
      <c r="O10" s="2"/>
      <c r="P10" s="2"/>
      <c r="Q10" s="2"/>
      <c r="R10" s="2"/>
      <c r="S10" s="2"/>
      <c r="T10" s="2"/>
      <c r="U10" s="2"/>
      <c r="V10" s="2"/>
      <c r="W10" s="2"/>
      <c r="X10" s="2"/>
      <c r="Y10" s="2"/>
      <c r="Z10" s="2"/>
      <c r="AA10" s="2"/>
      <c r="AB10" s="2"/>
      <c r="AC10" s="2"/>
      <c r="AD10" s="2"/>
      <c r="AE10" s="2"/>
      <c r="AF10" s="2"/>
      <c r="AG10" s="2"/>
      <c r="AH10" s="2"/>
    </row>
    <row r="11" spans="1:34" x14ac:dyDescent="0.3">
      <c r="A11" s="23">
        <v>2</v>
      </c>
      <c r="B11" s="2" t="str">
        <f>List!C86</f>
        <v>Average length of stay (based on a US published study)</v>
      </c>
      <c r="C11" s="2"/>
      <c r="D11" s="24"/>
      <c r="E11" s="2"/>
      <c r="F11" s="23" t="str">
        <f>'Cost calculator'!$E93</f>
        <v>Vancomycin IV</v>
      </c>
      <c r="G11" s="2" t="b">
        <v>1</v>
      </c>
      <c r="H11" s="2"/>
      <c r="I11" s="24"/>
      <c r="J11" s="2"/>
      <c r="K11" s="2"/>
      <c r="L11" s="2"/>
      <c r="M11" s="2"/>
      <c r="N11" s="2"/>
      <c r="O11" s="2"/>
      <c r="P11" s="2"/>
      <c r="Q11" s="2"/>
      <c r="R11" s="2"/>
      <c r="S11" s="2"/>
      <c r="T11" s="2"/>
      <c r="U11" s="2"/>
      <c r="V11" s="2"/>
      <c r="W11" s="2"/>
      <c r="X11" s="2"/>
      <c r="Y11" s="2"/>
      <c r="Z11" s="2"/>
      <c r="AA11" s="2"/>
      <c r="AB11" s="2"/>
      <c r="AC11" s="2"/>
      <c r="AD11" s="2"/>
      <c r="AE11" s="2"/>
      <c r="AF11" s="2"/>
      <c r="AG11" s="2"/>
      <c r="AH11" s="2"/>
    </row>
    <row r="12" spans="1:34" x14ac:dyDescent="0.3">
      <c r="A12" s="23">
        <v>3</v>
      </c>
      <c r="B12" s="2" t="str">
        <f>List!D86</f>
        <v xml:space="preserve">Hospitalisation for the IV portion of treatment only </v>
      </c>
      <c r="C12" s="2"/>
      <c r="D12" s="24"/>
      <c r="E12" s="2"/>
      <c r="F12" s="23" t="str">
        <f>'Cost calculator'!$E94</f>
        <v>Linezolid IV</v>
      </c>
      <c r="G12" s="2" t="b">
        <v>1</v>
      </c>
      <c r="H12" s="2"/>
      <c r="I12" s="24"/>
      <c r="J12" s="2"/>
      <c r="K12" s="2"/>
      <c r="L12" s="2"/>
      <c r="M12" s="2"/>
      <c r="N12" s="2"/>
      <c r="O12" s="2"/>
      <c r="P12" s="2"/>
      <c r="Q12" s="2"/>
      <c r="R12" s="2"/>
      <c r="S12" s="2"/>
      <c r="T12" s="2"/>
      <c r="U12" s="2"/>
      <c r="V12" s="2"/>
      <c r="W12" s="2"/>
      <c r="X12" s="2"/>
      <c r="Y12" s="2"/>
      <c r="Z12" s="2"/>
      <c r="AA12" s="2"/>
      <c r="AB12" s="2"/>
      <c r="AC12" s="2"/>
      <c r="AD12" s="2"/>
      <c r="AE12" s="2"/>
      <c r="AF12" s="2"/>
      <c r="AG12" s="2"/>
      <c r="AH12" s="2"/>
    </row>
    <row r="13" spans="1:34" x14ac:dyDescent="0.3">
      <c r="A13" s="23">
        <v>4</v>
      </c>
      <c r="B13" s="2" t="str">
        <f>List!E86</f>
        <v>Hospitalisation required for the length of antibiotic treatment</v>
      </c>
      <c r="C13" s="2"/>
      <c r="D13" s="24"/>
      <c r="E13" s="2"/>
      <c r="F13" s="23" t="str">
        <f>'Cost calculator'!$E95</f>
        <v>Daptomycin</v>
      </c>
      <c r="G13" s="2" t="b">
        <v>1</v>
      </c>
      <c r="H13" s="2"/>
      <c r="I13" s="24"/>
      <c r="J13" s="2"/>
      <c r="K13" s="2"/>
      <c r="L13" s="2"/>
      <c r="M13" s="2"/>
      <c r="N13" s="2"/>
      <c r="O13" s="2"/>
      <c r="P13" s="2"/>
      <c r="Q13" s="2"/>
      <c r="R13" s="2"/>
      <c r="S13" s="2"/>
      <c r="T13" s="2"/>
      <c r="U13" s="2"/>
      <c r="V13" s="2"/>
      <c r="W13" s="2"/>
      <c r="X13" s="2"/>
      <c r="Y13" s="2"/>
      <c r="Z13" s="2"/>
      <c r="AA13" s="2"/>
      <c r="AB13" s="2"/>
      <c r="AC13" s="2"/>
      <c r="AD13" s="2"/>
      <c r="AE13" s="2"/>
      <c r="AF13" s="2"/>
      <c r="AG13" s="2"/>
      <c r="AH13" s="2"/>
    </row>
    <row r="14" spans="1:34" x14ac:dyDescent="0.3">
      <c r="A14" s="23">
        <v>5</v>
      </c>
      <c r="B14" s="2" t="str">
        <f>List!F86</f>
        <v>Ambulatory care delayed</v>
      </c>
      <c r="C14" s="2"/>
      <c r="D14" s="24"/>
      <c r="E14" s="2"/>
      <c r="F14" s="23" t="str">
        <f>'Cost calculator'!$E96</f>
        <v>Cefazolin IV</v>
      </c>
      <c r="G14" s="2" t="b">
        <v>1</v>
      </c>
      <c r="H14" s="2"/>
      <c r="I14" s="24"/>
      <c r="J14" s="2"/>
      <c r="K14" s="2"/>
      <c r="L14" s="2"/>
      <c r="M14" s="2"/>
      <c r="N14" s="2"/>
      <c r="O14" s="2"/>
      <c r="P14" s="2"/>
      <c r="Q14" s="2"/>
      <c r="R14" s="2"/>
      <c r="S14" s="2"/>
      <c r="T14" s="2"/>
      <c r="U14" s="2"/>
      <c r="V14" s="2"/>
      <c r="W14" s="2"/>
      <c r="X14" s="2"/>
      <c r="Y14" s="2"/>
      <c r="Z14" s="2"/>
      <c r="AA14" s="2"/>
      <c r="AB14" s="2"/>
      <c r="AC14" s="2"/>
      <c r="AD14" s="2"/>
      <c r="AE14" s="2"/>
      <c r="AF14" s="2"/>
      <c r="AG14" s="2"/>
      <c r="AH14" s="2"/>
    </row>
    <row r="15" spans="1:34" ht="15.6" x14ac:dyDescent="0.3">
      <c r="A15" s="23" t="s">
        <v>225</v>
      </c>
      <c r="B15" s="2">
        <v>4</v>
      </c>
      <c r="C15" s="34" t="s">
        <v>231</v>
      </c>
      <c r="D15" s="24"/>
      <c r="E15" s="2"/>
      <c r="F15" s="23" t="str">
        <f>'Cost calculator'!$E97</f>
        <v>Ceftriaxone IV</v>
      </c>
      <c r="G15" s="2" t="b">
        <v>1</v>
      </c>
      <c r="H15" s="2"/>
      <c r="I15" s="24"/>
      <c r="J15" s="2"/>
      <c r="K15" s="2"/>
      <c r="L15" s="2"/>
      <c r="M15" s="2"/>
      <c r="N15" s="2"/>
      <c r="O15" s="2"/>
      <c r="P15" s="2"/>
      <c r="Q15" s="2"/>
      <c r="R15" s="2"/>
      <c r="S15" s="2"/>
      <c r="T15" s="2"/>
      <c r="U15" s="2"/>
      <c r="V15" s="2"/>
      <c r="W15" s="2"/>
      <c r="X15" s="2"/>
      <c r="Y15" s="2"/>
      <c r="Z15" s="2"/>
      <c r="AA15" s="2"/>
      <c r="AB15" s="2"/>
      <c r="AC15" s="2"/>
      <c r="AD15" s="2"/>
      <c r="AE15" s="2"/>
      <c r="AF15" s="2"/>
      <c r="AG15" s="2"/>
      <c r="AH15" s="2"/>
    </row>
    <row r="16" spans="1:34" x14ac:dyDescent="0.3">
      <c r="A16" s="23" t="s">
        <v>227</v>
      </c>
      <c r="B16" s="2" t="str">
        <f>VLOOKUP(setting_LoSopt,A10:B14,2,FALSE)</f>
        <v>Hospitalisation required for the length of antibiotic treatment</v>
      </c>
      <c r="C16" s="2"/>
      <c r="D16" s="24"/>
      <c r="E16" s="2"/>
      <c r="F16" s="23" t="s">
        <v>285</v>
      </c>
      <c r="G16" s="2" t="b">
        <v>1</v>
      </c>
      <c r="H16" s="2"/>
      <c r="I16" s="24"/>
      <c r="J16" s="2"/>
      <c r="K16" s="2"/>
      <c r="L16" s="2"/>
      <c r="M16" s="2"/>
      <c r="N16" s="2"/>
      <c r="O16" s="2"/>
      <c r="P16" s="2"/>
      <c r="Q16" s="2"/>
      <c r="R16" s="2"/>
      <c r="S16" s="2"/>
      <c r="T16" s="2"/>
      <c r="U16" s="2"/>
      <c r="V16" s="2"/>
      <c r="W16" s="2"/>
      <c r="X16" s="2"/>
      <c r="Y16" s="2"/>
      <c r="Z16" s="2"/>
      <c r="AA16" s="2"/>
      <c r="AB16" s="2"/>
      <c r="AC16" s="2"/>
      <c r="AD16" s="2"/>
      <c r="AE16" s="2"/>
      <c r="AF16" s="2"/>
      <c r="AG16" s="2"/>
      <c r="AH16" s="2"/>
    </row>
    <row r="17" spans="1:34" x14ac:dyDescent="0.3">
      <c r="A17" s="25"/>
      <c r="B17" s="26"/>
      <c r="C17" s="26"/>
      <c r="D17" s="27"/>
      <c r="E17" s="2"/>
      <c r="F17" s="25"/>
      <c r="G17" s="26"/>
      <c r="H17" s="26"/>
      <c r="I17" s="27"/>
      <c r="J17" s="2"/>
      <c r="K17" s="2"/>
      <c r="L17" s="2"/>
      <c r="M17" s="2"/>
      <c r="N17" s="2"/>
      <c r="O17" s="2"/>
      <c r="P17" s="2"/>
      <c r="Q17" s="2"/>
      <c r="R17" s="2"/>
      <c r="S17" s="2"/>
      <c r="T17" s="2"/>
      <c r="U17" s="2"/>
      <c r="V17" s="2"/>
      <c r="W17" s="2"/>
      <c r="X17" s="2"/>
      <c r="Y17" s="2"/>
      <c r="Z17" s="2"/>
      <c r="AA17" s="2"/>
      <c r="AB17" s="2"/>
      <c r="AC17" s="2"/>
      <c r="AD17" s="2"/>
      <c r="AE17" s="2"/>
      <c r="AF17" s="2"/>
      <c r="AG17" s="2"/>
      <c r="AH17" s="2"/>
    </row>
    <row r="18" spans="1:34" x14ac:dyDescent="0.3">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row>
    <row r="19" spans="1:34" ht="15.6" x14ac:dyDescent="0.3">
      <c r="A19" s="35" t="s">
        <v>232</v>
      </c>
      <c r="B19" s="21"/>
      <c r="C19" s="21"/>
      <c r="D19" s="22"/>
      <c r="E19" s="2"/>
      <c r="F19" s="151"/>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row>
    <row r="20" spans="1:34" x14ac:dyDescent="0.3">
      <c r="A20" s="23">
        <v>1</v>
      </c>
      <c r="B20" s="2">
        <v>1000</v>
      </c>
      <c r="C20" s="2"/>
      <c r="D20" s="24"/>
      <c r="E20" s="2"/>
      <c r="F20" s="2"/>
      <c r="G20" s="2" t="s">
        <v>185</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row>
    <row r="21" spans="1:34" x14ac:dyDescent="0.3">
      <c r="A21" s="23">
        <v>2</v>
      </c>
      <c r="B21" s="2">
        <v>2000</v>
      </c>
      <c r="C21" s="2"/>
      <c r="D21" s="24"/>
      <c r="E21" s="2"/>
      <c r="F21" s="2"/>
      <c r="G21" s="2" t="s">
        <v>184</v>
      </c>
      <c r="H21" s="2"/>
      <c r="I21" s="2"/>
      <c r="J21" s="2"/>
      <c r="K21" s="2"/>
      <c r="L21" s="2"/>
      <c r="M21" s="2"/>
      <c r="N21" s="2"/>
      <c r="O21" s="2"/>
      <c r="P21" s="2"/>
      <c r="Q21" s="2"/>
      <c r="R21" s="2"/>
      <c r="S21" s="2"/>
      <c r="T21" s="2"/>
      <c r="U21" s="2"/>
      <c r="V21" s="2"/>
      <c r="W21" s="2"/>
      <c r="X21" s="2"/>
      <c r="Y21" s="2"/>
      <c r="Z21" s="2"/>
      <c r="AA21" s="2"/>
      <c r="AB21" s="2"/>
      <c r="AC21" s="2"/>
      <c r="AD21" s="2"/>
    </row>
    <row r="22" spans="1:34" x14ac:dyDescent="0.3">
      <c r="A22" s="23">
        <v>3</v>
      </c>
      <c r="B22" s="2">
        <v>3000</v>
      </c>
      <c r="C22" s="2"/>
      <c r="D22" s="24"/>
      <c r="E22" s="2"/>
      <c r="F22" s="2"/>
      <c r="G22" s="2"/>
      <c r="H22" s="2"/>
      <c r="I22" s="2"/>
      <c r="J22" s="2"/>
      <c r="K22" s="2"/>
      <c r="L22" s="2"/>
      <c r="M22" s="2"/>
      <c r="N22" s="2"/>
      <c r="O22" s="2"/>
      <c r="P22" s="2"/>
      <c r="Q22" s="2"/>
      <c r="R22" s="2"/>
      <c r="S22" s="2"/>
      <c r="T22" s="2"/>
      <c r="U22" s="2"/>
      <c r="V22" s="2"/>
      <c r="W22" s="2"/>
      <c r="X22" s="2"/>
      <c r="Y22" s="2"/>
      <c r="Z22" s="2"/>
      <c r="AA22" s="2"/>
      <c r="AB22" s="2"/>
      <c r="AC22" s="2"/>
      <c r="AD22" s="2"/>
    </row>
    <row r="23" spans="1:34" ht="15.6" x14ac:dyDescent="0.3">
      <c r="A23" s="23" t="s">
        <v>225</v>
      </c>
      <c r="B23" s="2">
        <v>2</v>
      </c>
      <c r="C23" s="34" t="s">
        <v>233</v>
      </c>
      <c r="D23" s="24"/>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row>
    <row r="24" spans="1:34" x14ac:dyDescent="0.3">
      <c r="A24" s="23" t="s">
        <v>227</v>
      </c>
      <c r="B24" s="2">
        <f>VLOOKUP(setting_Vanco_dose,A20:B22,2,FALSE)</f>
        <v>2000</v>
      </c>
      <c r="C24" s="2"/>
      <c r="D24" s="24"/>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row>
    <row r="25" spans="1:34" x14ac:dyDescent="0.3">
      <c r="A25" s="25"/>
      <c r="B25" s="26"/>
      <c r="C25" s="26"/>
      <c r="D25" s="27"/>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row>
    <row r="26" spans="1:34" x14ac:dyDescent="0.3">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row>
    <row r="27" spans="1:34" x14ac:dyDescent="0.3">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row>
    <row r="28" spans="1:34" x14ac:dyDescent="0.3">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row>
    <row r="29" spans="1:34" x14ac:dyDescent="0.3">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row>
    <row r="30" spans="1:34" x14ac:dyDescent="0.3">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row>
    <row r="31" spans="1:34" x14ac:dyDescent="0.3">
      <c r="A31" s="2" t="s">
        <v>234</v>
      </c>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row>
    <row r="32" spans="1:34" x14ac:dyDescent="0.3">
      <c r="A32" s="2"/>
      <c r="B32" s="50"/>
      <c r="C32" s="51"/>
      <c r="D32" s="2"/>
      <c r="E32" s="2"/>
      <c r="F32" s="2"/>
      <c r="G32" s="2"/>
      <c r="H32" s="2"/>
      <c r="I32" s="2"/>
      <c r="J32" s="2"/>
      <c r="K32" s="2"/>
      <c r="L32" s="2"/>
      <c r="M32" s="2"/>
      <c r="N32" s="2"/>
      <c r="O32" s="2"/>
      <c r="P32" s="2"/>
      <c r="Q32" s="2"/>
      <c r="R32" s="2"/>
      <c r="S32" s="2"/>
      <c r="T32" s="2"/>
      <c r="U32" s="2"/>
      <c r="V32" s="2"/>
      <c r="W32" s="2"/>
      <c r="X32" s="2"/>
      <c r="Y32" s="2"/>
      <c r="Z32" s="2"/>
      <c r="AA32" s="2"/>
      <c r="AB32" s="2"/>
      <c r="AC32" s="2"/>
    </row>
    <row r="33" spans="1:34" x14ac:dyDescent="0.3">
      <c r="A33" s="2" t="s">
        <v>235</v>
      </c>
      <c r="B33" s="2"/>
      <c r="C33" s="52">
        <v>10.76</v>
      </c>
      <c r="D33" s="2" t="s">
        <v>236</v>
      </c>
      <c r="E33" s="2"/>
      <c r="F33" s="2"/>
      <c r="G33" s="2"/>
      <c r="H33" s="2"/>
      <c r="I33" s="2"/>
      <c r="J33" s="2"/>
      <c r="K33" s="2"/>
      <c r="L33" s="2"/>
      <c r="M33" s="2"/>
      <c r="N33" s="2"/>
      <c r="O33" s="2"/>
      <c r="P33" s="2"/>
      <c r="Q33" s="2"/>
      <c r="R33" s="2"/>
      <c r="S33" s="2"/>
      <c r="T33" s="2"/>
      <c r="U33" s="2"/>
      <c r="V33" s="2"/>
      <c r="W33" s="2"/>
      <c r="X33" s="2"/>
      <c r="Y33" s="2"/>
      <c r="Z33" s="2"/>
      <c r="AA33" s="2"/>
      <c r="AB33" s="2"/>
      <c r="AC33" s="2"/>
    </row>
    <row r="34" spans="1:34" x14ac:dyDescent="0.3">
      <c r="A34" s="49" t="s">
        <v>153</v>
      </c>
      <c r="B34" s="2"/>
      <c r="C34" s="52">
        <v>3.98</v>
      </c>
      <c r="D34" s="2" t="str">
        <f>D33</f>
        <v>Ministry of Health Ontario Health Insurance Plan. Laboratories and Genetics Branch. Schedule of Benefits for Laboratory Services (Effective July 1, 2020)</v>
      </c>
      <c r="E34" s="2"/>
      <c r="F34" s="2"/>
      <c r="G34" s="2"/>
      <c r="H34" s="2"/>
      <c r="I34" s="2"/>
      <c r="J34" s="2"/>
      <c r="K34" s="2"/>
      <c r="L34" s="2"/>
      <c r="M34" s="2"/>
      <c r="N34" s="2"/>
      <c r="O34" s="2"/>
      <c r="P34" s="2"/>
      <c r="Q34" s="2"/>
      <c r="R34" s="2"/>
      <c r="S34" s="2"/>
      <c r="T34" s="2"/>
      <c r="U34" s="2"/>
      <c r="V34" s="2"/>
      <c r="W34" s="2"/>
      <c r="X34" s="2"/>
      <c r="Y34" s="2"/>
      <c r="Z34" s="2"/>
      <c r="AA34" s="2"/>
      <c r="AB34" s="2"/>
      <c r="AC34" s="2"/>
    </row>
    <row r="35" spans="1:34" x14ac:dyDescent="0.3">
      <c r="A35" s="49" t="s">
        <v>154</v>
      </c>
      <c r="B35" s="2"/>
      <c r="C35" s="52">
        <f>SUM(B40:B47)</f>
        <v>9.879999999999999</v>
      </c>
      <c r="D35" s="2" t="str">
        <f t="shared" ref="D35:D37" si="0">D34</f>
        <v>Ministry of Health Ontario Health Insurance Plan. Laboratories and Genetics Branch. Schedule of Benefits for Laboratory Services (Effective July 1, 2020)</v>
      </c>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row>
    <row r="36" spans="1:34" x14ac:dyDescent="0.3">
      <c r="A36" s="49" t="s">
        <v>155</v>
      </c>
      <c r="B36" s="2"/>
      <c r="C36" s="52">
        <f>SUM(B50:B53)</f>
        <v>5.12</v>
      </c>
      <c r="D36" s="2" t="str">
        <f t="shared" si="0"/>
        <v>Ministry of Health Ontario Health Insurance Plan. Laboratories and Genetics Branch. Schedule of Benefits for Laboratory Services (Effective July 1, 2020)</v>
      </c>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row>
    <row r="37" spans="1:34" x14ac:dyDescent="0.3">
      <c r="A37" s="2" t="s">
        <v>237</v>
      </c>
      <c r="B37" s="2"/>
      <c r="C37" s="52">
        <v>14.58</v>
      </c>
      <c r="D37" s="2" t="str">
        <f t="shared" si="0"/>
        <v>Ministry of Health Ontario Health Insurance Plan. Laboratories and Genetics Branch. Schedule of Benefits for Laboratory Services (Effective July 1, 2020)</v>
      </c>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row>
    <row r="38" spans="1:34" x14ac:dyDescent="0.3">
      <c r="A38" s="2"/>
      <c r="B38" s="2"/>
      <c r="C38" s="5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row>
    <row r="39" spans="1:34" x14ac:dyDescent="0.3">
      <c r="A39" s="2" t="s">
        <v>238</v>
      </c>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row>
    <row r="40" spans="1:34" x14ac:dyDescent="0.3">
      <c r="A40" s="33" t="s">
        <v>239</v>
      </c>
      <c r="B40" s="2">
        <v>1.28</v>
      </c>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row>
    <row r="41" spans="1:34" x14ac:dyDescent="0.3">
      <c r="A41" s="33" t="s">
        <v>240</v>
      </c>
      <c r="B41" s="2">
        <v>1.1599999999999999</v>
      </c>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row>
    <row r="42" spans="1:34" x14ac:dyDescent="0.3">
      <c r="A42" s="33" t="s">
        <v>241</v>
      </c>
      <c r="B42" s="2">
        <v>1.28</v>
      </c>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row>
    <row r="43" spans="1:34" x14ac:dyDescent="0.3">
      <c r="A43" s="33" t="s">
        <v>242</v>
      </c>
      <c r="B43" s="2">
        <v>1.28</v>
      </c>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row>
    <row r="44" spans="1:34" x14ac:dyDescent="0.3">
      <c r="A44" s="33" t="s">
        <v>243</v>
      </c>
      <c r="B44" s="2">
        <v>1.1599999999999999</v>
      </c>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row>
    <row r="45" spans="1:34" x14ac:dyDescent="0.3">
      <c r="A45" s="33" t="s">
        <v>244</v>
      </c>
      <c r="B45" s="2">
        <v>1.1599999999999999</v>
      </c>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row>
    <row r="46" spans="1:34" x14ac:dyDescent="0.3">
      <c r="A46" s="33" t="s">
        <v>245</v>
      </c>
      <c r="B46" s="2">
        <v>1.28</v>
      </c>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row>
    <row r="47" spans="1:34" x14ac:dyDescent="0.3">
      <c r="A47" s="33" t="s">
        <v>246</v>
      </c>
      <c r="B47" s="2">
        <v>1.28</v>
      </c>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row>
    <row r="48" spans="1:34"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row>
    <row r="49" spans="1:34" x14ac:dyDescent="0.3">
      <c r="A49" s="49" t="s">
        <v>155</v>
      </c>
      <c r="B49" s="2"/>
      <c r="C49" s="5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row>
    <row r="50" spans="1:34" x14ac:dyDescent="0.3">
      <c r="A50" s="33" t="s">
        <v>247</v>
      </c>
      <c r="B50" s="2">
        <v>1.28</v>
      </c>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row>
    <row r="51" spans="1:34" x14ac:dyDescent="0.3">
      <c r="A51" s="33" t="s">
        <v>248</v>
      </c>
      <c r="B51" s="2">
        <v>1.28</v>
      </c>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row>
    <row r="52" spans="1:34" x14ac:dyDescent="0.3">
      <c r="A52" s="33" t="s">
        <v>249</v>
      </c>
      <c r="B52" s="2">
        <v>1.28</v>
      </c>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row>
    <row r="53" spans="1:34" x14ac:dyDescent="0.3">
      <c r="A53" s="33" t="s">
        <v>250</v>
      </c>
      <c r="B53" s="2">
        <v>1.28</v>
      </c>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row>
    <row r="54" spans="1:34"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row>
    <row r="55" spans="1:34" x14ac:dyDescent="0.3">
      <c r="A55" s="2" t="s">
        <v>251</v>
      </c>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row>
    <row r="56" spans="1:34" x14ac:dyDescent="0.3">
      <c r="A56" s="2">
        <v>2009</v>
      </c>
      <c r="B56" s="2">
        <v>113.8</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row>
    <row r="57" spans="1:34" x14ac:dyDescent="0.3">
      <c r="A57" s="2">
        <v>2010</v>
      </c>
      <c r="B57" s="2">
        <v>115.6</v>
      </c>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row>
    <row r="58" spans="1:34" x14ac:dyDescent="0.3">
      <c r="A58" s="2">
        <v>2011</v>
      </c>
      <c r="B58" s="2">
        <v>118.1</v>
      </c>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row>
    <row r="59" spans="1:34" x14ac:dyDescent="0.3">
      <c r="A59" s="2">
        <v>2012</v>
      </c>
      <c r="B59" s="2">
        <v>121.2</v>
      </c>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row>
    <row r="60" spans="1:34" x14ac:dyDescent="0.3">
      <c r="A60" s="2">
        <v>2013</v>
      </c>
      <c r="B60" s="2">
        <v>122.7</v>
      </c>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row>
    <row r="61" spans="1:34" x14ac:dyDescent="0.3">
      <c r="A61" s="2">
        <v>2014</v>
      </c>
      <c r="B61" s="2">
        <v>124.1</v>
      </c>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row>
    <row r="62" spans="1:34" x14ac:dyDescent="0.3">
      <c r="A62" s="2">
        <v>2015</v>
      </c>
      <c r="B62" s="2">
        <v>125.4</v>
      </c>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row>
    <row r="63" spans="1:34" x14ac:dyDescent="0.3">
      <c r="A63" s="2">
        <v>2016</v>
      </c>
      <c r="B63" s="2">
        <v>127.1</v>
      </c>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row>
    <row r="64" spans="1:34" x14ac:dyDescent="0.3">
      <c r="A64" s="2">
        <v>2017</v>
      </c>
      <c r="B64" s="2">
        <v>129.69999999999999</v>
      </c>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row>
    <row r="65" spans="1:34" x14ac:dyDescent="0.3">
      <c r="A65" s="2">
        <v>2018</v>
      </c>
      <c r="B65" s="2">
        <v>132.5</v>
      </c>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row>
    <row r="66" spans="1:34" x14ac:dyDescent="0.3">
      <c r="A66" s="2">
        <v>2019</v>
      </c>
      <c r="B66" s="2">
        <v>134.5</v>
      </c>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row>
    <row r="67" spans="1:34" x14ac:dyDescent="0.3">
      <c r="A67" s="2">
        <v>2020</v>
      </c>
      <c r="B67" s="2">
        <v>137.4</v>
      </c>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row>
    <row r="68" spans="1:34" x14ac:dyDescent="0.3">
      <c r="A68" s="2">
        <v>2021</v>
      </c>
      <c r="B68" s="2">
        <v>138.9</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row>
    <row r="69" spans="1:34" x14ac:dyDescent="0.3">
      <c r="A69" s="2">
        <v>2022</v>
      </c>
      <c r="B69" s="2">
        <v>146.80000000000001</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row>
    <row r="70" spans="1:34" x14ac:dyDescent="0.3">
      <c r="A70" s="2">
        <v>2023</v>
      </c>
      <c r="B70" s="2">
        <v>154.5</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row>
    <row r="71" spans="1:34" x14ac:dyDescent="0.3">
      <c r="A71" s="2" t="s">
        <v>291</v>
      </c>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row>
    <row r="72" spans="1:34" x14ac:dyDescent="0.3">
      <c r="A72" s="170">
        <v>39600</v>
      </c>
      <c r="B72" s="2">
        <v>112.9</v>
      </c>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row>
    <row r="73" spans="1:34" x14ac:dyDescent="0.3">
      <c r="A73" s="170">
        <v>40330</v>
      </c>
      <c r="B73" s="2">
        <v>114.7</v>
      </c>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row>
    <row r="74" spans="1:34" x14ac:dyDescent="0.3">
      <c r="A74" s="170">
        <v>43252</v>
      </c>
      <c r="B74" s="2">
        <v>126.3</v>
      </c>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row>
    <row r="75" spans="1:34" x14ac:dyDescent="0.3">
      <c r="A75" s="170">
        <v>44013</v>
      </c>
      <c r="B75" s="2">
        <v>132.1</v>
      </c>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row>
    <row r="76" spans="1:34" x14ac:dyDescent="0.3">
      <c r="A76" s="170">
        <v>44531</v>
      </c>
      <c r="B76" s="180">
        <v>135</v>
      </c>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row>
    <row r="77" spans="1:34" x14ac:dyDescent="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row>
    <row r="78" spans="1:34" x14ac:dyDescent="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row>
    <row r="79" spans="1:34" x14ac:dyDescent="0.3">
      <c r="A79" s="170">
        <v>44621</v>
      </c>
      <c r="B79" s="2">
        <v>134.9</v>
      </c>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row>
    <row r="80" spans="1:34" x14ac:dyDescent="0.3">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row>
    <row r="81" spans="1:41" x14ac:dyDescent="0.3">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row>
    <row r="82" spans="1:41" x14ac:dyDescent="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row>
    <row r="83" spans="1:41" x14ac:dyDescent="0.3">
      <c r="A83" s="170">
        <v>45261</v>
      </c>
      <c r="B83" s="2">
        <v>146.69999999999999</v>
      </c>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row>
    <row r="84" spans="1:41" x14ac:dyDescent="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row>
    <row r="85" spans="1:41" outlineLevel="1" x14ac:dyDescent="0.3">
      <c r="A85" s="40" t="s">
        <v>252</v>
      </c>
      <c r="B85" s="30"/>
      <c r="C85" s="30"/>
      <c r="D85" s="30"/>
      <c r="E85" s="30"/>
      <c r="F85" s="30"/>
      <c r="G85" s="30"/>
      <c r="H85" s="30"/>
      <c r="I85" s="30"/>
      <c r="J85" s="30"/>
      <c r="K85" s="30"/>
      <c r="L85" s="2"/>
      <c r="M85" s="2"/>
      <c r="N85" s="2"/>
      <c r="O85" s="2"/>
      <c r="P85" s="2"/>
      <c r="Q85" s="2"/>
      <c r="R85" s="2"/>
      <c r="S85" s="2"/>
      <c r="T85" s="2"/>
      <c r="U85" s="2"/>
      <c r="V85" s="2"/>
      <c r="W85" s="2"/>
      <c r="X85" s="2"/>
      <c r="Y85" s="2"/>
      <c r="Z85" s="2"/>
      <c r="AA85" s="2"/>
      <c r="AB85" s="2"/>
      <c r="AC85" s="2"/>
      <c r="AD85" s="2"/>
      <c r="AE85" s="2"/>
      <c r="AF85" s="2"/>
      <c r="AG85" s="2"/>
      <c r="AH85" s="2"/>
      <c r="AI85" s="2"/>
      <c r="AJ85" s="2">
        <v>1</v>
      </c>
      <c r="AK85" s="2"/>
      <c r="AL85" s="2"/>
      <c r="AM85" s="2"/>
      <c r="AN85" s="2"/>
      <c r="AO85" s="2"/>
    </row>
    <row r="86" spans="1:41" ht="43.2" outlineLevel="2" x14ac:dyDescent="0.3">
      <c r="A86" s="54" t="s">
        <v>253</v>
      </c>
      <c r="B86" s="43" t="s">
        <v>254</v>
      </c>
      <c r="C86" s="43" t="s">
        <v>337</v>
      </c>
      <c r="D86" s="56" t="s">
        <v>255</v>
      </c>
      <c r="E86" s="56" t="s">
        <v>256</v>
      </c>
      <c r="F86" s="43" t="s">
        <v>257</v>
      </c>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row>
    <row r="87" spans="1:41" ht="144" outlineLevel="2" x14ac:dyDescent="0.3">
      <c r="A87" s="46" t="s">
        <v>35</v>
      </c>
      <c r="B87" s="45" t="s">
        <v>258</v>
      </c>
      <c r="C87" s="57" t="s">
        <v>338</v>
      </c>
      <c r="D87" s="57" t="s">
        <v>259</v>
      </c>
      <c r="E87" s="57" t="s">
        <v>260</v>
      </c>
      <c r="F87" s="57" t="s">
        <v>261</v>
      </c>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row>
    <row r="88" spans="1:41" outlineLevel="2" x14ac:dyDescent="0.3">
      <c r="A88" s="46" t="str">
        <f>'Cost calculator'!E21</f>
        <v>Xydalba IV</v>
      </c>
      <c r="B88" s="46"/>
      <c r="C88" s="41">
        <v>3.2</v>
      </c>
      <c r="D88" s="42">
        <v>0</v>
      </c>
      <c r="E88" s="42">
        <v>0</v>
      </c>
      <c r="F88" s="41">
        <v>0</v>
      </c>
      <c r="G88" s="29"/>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row>
    <row r="89" spans="1:41" outlineLevel="2" x14ac:dyDescent="0.3">
      <c r="A89" s="46" t="str">
        <f>'Cost calculator'!E22</f>
        <v>Vancomycin IV</v>
      </c>
      <c r="B89" s="46"/>
      <c r="C89" s="41">
        <v>4.8</v>
      </c>
      <c r="D89" s="44">
        <f>'Cost calculator'!J47</f>
        <v>7</v>
      </c>
      <c r="E89" s="44">
        <f>'Cost calculator'!F$44</f>
        <v>14</v>
      </c>
      <c r="F89" s="42">
        <f t="shared" ref="F89:F94" si="1">F$88+3</f>
        <v>3</v>
      </c>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row>
    <row r="90" spans="1:41" ht="16.350000000000001" customHeight="1" outlineLevel="2" x14ac:dyDescent="0.3">
      <c r="A90" s="46" t="str">
        <f>'Cost calculator'!E23</f>
        <v>Linezolid IV</v>
      </c>
      <c r="B90" s="46"/>
      <c r="C90" s="41">
        <v>4.8</v>
      </c>
      <c r="D90" s="44">
        <f>'Cost calculator'!J48</f>
        <v>7</v>
      </c>
      <c r="E90" s="44">
        <f>'Cost calculator'!F$44</f>
        <v>14</v>
      </c>
      <c r="F90" s="42">
        <f t="shared" si="1"/>
        <v>3</v>
      </c>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row>
    <row r="91" spans="1:41" outlineLevel="2" x14ac:dyDescent="0.3">
      <c r="A91" s="46" t="str">
        <f>'Cost calculator'!E24</f>
        <v>Daptomycin</v>
      </c>
      <c r="B91" s="46"/>
      <c r="C91" s="41">
        <v>4.8</v>
      </c>
      <c r="D91" s="44">
        <f>'Cost calculator'!J53</f>
        <v>7</v>
      </c>
      <c r="E91" s="44">
        <f>'Cost calculator'!F$44</f>
        <v>14</v>
      </c>
      <c r="F91" s="42">
        <f t="shared" si="1"/>
        <v>3</v>
      </c>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row>
    <row r="92" spans="1:41" outlineLevel="2" x14ac:dyDescent="0.3">
      <c r="A92" s="46" t="str">
        <f>'Cost calculator'!E25</f>
        <v>Cefazolin IV</v>
      </c>
      <c r="B92" s="46"/>
      <c r="C92" s="41">
        <v>4.8</v>
      </c>
      <c r="D92" s="44">
        <f>'Cost calculator'!J49</f>
        <v>7</v>
      </c>
      <c r="E92" s="44">
        <f>'Cost calculator'!F$44</f>
        <v>14</v>
      </c>
      <c r="F92" s="42">
        <f t="shared" si="1"/>
        <v>3</v>
      </c>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row>
    <row r="93" spans="1:41" ht="15" customHeight="1" outlineLevel="2" x14ac:dyDescent="0.3">
      <c r="A93" s="46" t="str">
        <f>'Cost calculator'!E26</f>
        <v>Ceftriaxone IV</v>
      </c>
      <c r="B93" s="46"/>
      <c r="C93" s="41">
        <v>4.8</v>
      </c>
      <c r="D93" s="44">
        <f>'Cost calculator'!J50</f>
        <v>7</v>
      </c>
      <c r="E93" s="44">
        <f>'Cost calculator'!F$44</f>
        <v>14</v>
      </c>
      <c r="F93" s="42">
        <f t="shared" si="1"/>
        <v>3</v>
      </c>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row>
    <row r="94" spans="1:41" ht="15" customHeight="1" outlineLevel="2" x14ac:dyDescent="0.3">
      <c r="A94" s="46" t="s">
        <v>285</v>
      </c>
      <c r="B94" s="46"/>
      <c r="C94" s="41">
        <v>4.8</v>
      </c>
      <c r="D94" s="44">
        <f>'Cost calculator'!J51</f>
        <v>7</v>
      </c>
      <c r="E94" s="44">
        <f>'Cost calculator'!F$44</f>
        <v>14</v>
      </c>
      <c r="F94" s="42">
        <f t="shared" si="1"/>
        <v>3</v>
      </c>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row>
    <row r="95" spans="1:41" ht="115.2" outlineLevel="2" x14ac:dyDescent="0.3">
      <c r="A95" s="47" t="s">
        <v>262</v>
      </c>
      <c r="B95" s="45" t="s">
        <v>263</v>
      </c>
      <c r="C95" s="57" t="s">
        <v>264</v>
      </c>
      <c r="D95" s="57" t="s">
        <v>265</v>
      </c>
      <c r="E95" s="57" t="s">
        <v>266</v>
      </c>
      <c r="F95" s="58" t="s">
        <v>267</v>
      </c>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row>
    <row r="96" spans="1:41" x14ac:dyDescent="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row>
    <row r="97" spans="1:37" x14ac:dyDescent="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row>
    <row r="98" spans="1:37" x14ac:dyDescent="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row>
    <row r="99" spans="1:37" x14ac:dyDescent="0.3">
      <c r="A99" s="2"/>
      <c r="B99" s="18" t="s">
        <v>300</v>
      </c>
      <c r="C99" s="18" t="s">
        <v>302</v>
      </c>
      <c r="D99" s="18" t="s">
        <v>303</v>
      </c>
      <c r="E99" s="18" t="s">
        <v>304</v>
      </c>
      <c r="F99" s="18" t="s">
        <v>305</v>
      </c>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row>
    <row r="100" spans="1:37" x14ac:dyDescent="0.3">
      <c r="A100" s="2" t="s">
        <v>294</v>
      </c>
      <c r="B100" s="175">
        <v>9.1999999999999998E-2</v>
      </c>
      <c r="C100" s="179">
        <v>600</v>
      </c>
      <c r="D100" s="179">
        <v>2</v>
      </c>
      <c r="E100" s="172">
        <f>19.3041/600</f>
        <v>3.2173499999999994E-2</v>
      </c>
      <c r="F100" s="178">
        <f>C100*D100*E100</f>
        <v>38.608199999999989</v>
      </c>
      <c r="G100" s="173" t="s">
        <v>301</v>
      </c>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row>
    <row r="101" spans="1:37" x14ac:dyDescent="0.3">
      <c r="A101" s="2" t="s">
        <v>295</v>
      </c>
      <c r="B101" s="175">
        <v>3.3000000000000002E-2</v>
      </c>
      <c r="C101" s="179">
        <v>375</v>
      </c>
      <c r="D101" s="179">
        <v>4</v>
      </c>
      <c r="E101" s="178">
        <f>0.2217/150</f>
        <v>1.4780000000000001E-3</v>
      </c>
      <c r="F101" s="178">
        <f t="shared" ref="F101:F105" si="2">C101*D101*E101</f>
        <v>2.2170000000000001</v>
      </c>
      <c r="G101" s="173" t="s">
        <v>301</v>
      </c>
      <c r="H101" s="174"/>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row>
    <row r="102" spans="1:37" x14ac:dyDescent="0.3">
      <c r="A102" s="2" t="s">
        <v>296</v>
      </c>
      <c r="B102" s="175">
        <v>0.45</v>
      </c>
      <c r="C102" s="179">
        <v>500</v>
      </c>
      <c r="D102" s="179">
        <v>4</v>
      </c>
      <c r="E102" s="178">
        <f>0.0866/250</f>
        <v>3.4639999999999996E-4</v>
      </c>
      <c r="F102" s="178">
        <f t="shared" si="2"/>
        <v>0.69279999999999997</v>
      </c>
      <c r="G102" s="173" t="s">
        <v>301</v>
      </c>
      <c r="H102" s="174"/>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row>
    <row r="103" spans="1:37" x14ac:dyDescent="0.3">
      <c r="A103" s="2" t="s">
        <v>297</v>
      </c>
      <c r="B103" s="175">
        <v>4.9999999999999996E-2</v>
      </c>
      <c r="C103" s="179">
        <v>375</v>
      </c>
      <c r="D103" s="179">
        <v>4</v>
      </c>
      <c r="E103" s="178">
        <f>0.2141/250</f>
        <v>8.564E-4</v>
      </c>
      <c r="F103" s="178">
        <f t="shared" si="2"/>
        <v>1.2846</v>
      </c>
      <c r="G103" s="173" t="s">
        <v>301</v>
      </c>
      <c r="H103" s="174"/>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row>
    <row r="104" spans="1:37" x14ac:dyDescent="0.3">
      <c r="A104" s="2" t="s">
        <v>298</v>
      </c>
      <c r="B104" s="175">
        <v>0.20833333333333334</v>
      </c>
      <c r="C104" s="179">
        <v>1200</v>
      </c>
      <c r="D104" s="179">
        <v>2</v>
      </c>
      <c r="E104" s="178">
        <f>(0.2074+0.1077)/1200</f>
        <v>2.6258333333333331E-4</v>
      </c>
      <c r="F104" s="178">
        <f t="shared" si="2"/>
        <v>0.63019999999999998</v>
      </c>
      <c r="G104" s="173" t="s">
        <v>301</v>
      </c>
      <c r="H104" s="174"/>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row>
    <row r="105" spans="1:37" x14ac:dyDescent="0.3">
      <c r="A105" s="2" t="s">
        <v>299</v>
      </c>
      <c r="B105" s="175">
        <v>0.16666666666666666</v>
      </c>
      <c r="C105" s="179">
        <v>875</v>
      </c>
      <c r="D105" s="179">
        <v>2</v>
      </c>
      <c r="E105" s="178">
        <f>0.5551/875</f>
        <v>6.3440000000000002E-4</v>
      </c>
      <c r="F105" s="178">
        <f t="shared" si="2"/>
        <v>1.1102000000000001</v>
      </c>
      <c r="G105" s="173" t="s">
        <v>301</v>
      </c>
      <c r="H105" s="174"/>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row>
    <row r="106" spans="1:37" x14ac:dyDescent="0.3">
      <c r="A106" s="2"/>
      <c r="B106" s="176">
        <f>SUM(B100:B105)</f>
        <v>1</v>
      </c>
      <c r="C106" s="176"/>
      <c r="D106" s="176"/>
      <c r="E106" s="177"/>
      <c r="F106" s="178">
        <f>SUMPRODUCT(B100:B105,F100:F105)</f>
        <v>4.3174303999999992</v>
      </c>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row>
    <row r="107" spans="1:37" x14ac:dyDescent="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row>
    <row r="108" spans="1:37" x14ac:dyDescent="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row>
    <row r="109" spans="1:37" x14ac:dyDescent="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row>
    <row r="110" spans="1:37" x14ac:dyDescent="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row>
    <row r="111" spans="1:37" x14ac:dyDescent="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row>
    <row r="112" spans="1:37" x14ac:dyDescent="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row>
    <row r="113" spans="1:34" x14ac:dyDescent="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row>
    <row r="114" spans="1:34" x14ac:dyDescent="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row>
    <row r="115" spans="1:34" x14ac:dyDescent="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row>
    <row r="116" spans="1:34" x14ac:dyDescent="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row>
    <row r="117" spans="1:34" x14ac:dyDescent="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row>
    <row r="118" spans="1:34" x14ac:dyDescent="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row>
    <row r="119" spans="1:34" x14ac:dyDescent="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row>
    <row r="120" spans="1:34" x14ac:dyDescent="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row>
    <row r="121" spans="1:34" x14ac:dyDescent="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row>
    <row r="122" spans="1:34" x14ac:dyDescent="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row>
    <row r="123" spans="1:34" x14ac:dyDescent="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row>
    <row r="124" spans="1:34" x14ac:dyDescent="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row>
  </sheetData>
  <mergeCells count="1">
    <mergeCell ref="A1:M1"/>
  </mergeCells>
  <phoneticPr fontId="5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A01B1-00D3-46F8-A158-7F5C04DE62F7}">
  <sheetPr codeName="Sheet10"/>
  <dimension ref="A1:AT64"/>
  <sheetViews>
    <sheetView workbookViewId="0">
      <selection activeCell="E3" sqref="E3:Q3"/>
    </sheetView>
  </sheetViews>
  <sheetFormatPr defaultColWidth="8.88671875" defaultRowHeight="14.4" x14ac:dyDescent="0.3"/>
  <cols>
    <col min="1" max="2" width="9.44140625" customWidth="1"/>
    <col min="3" max="3" width="9.88671875" customWidth="1"/>
    <col min="5" max="5" width="46.5546875" customWidth="1"/>
    <col min="6" max="7" width="14" customWidth="1"/>
    <col min="8" max="8" width="15.109375" customWidth="1"/>
    <col min="9" max="12" width="14" customWidth="1"/>
    <col min="13" max="13" width="13.109375" customWidth="1"/>
    <col min="14" max="16" width="12.44140625" customWidth="1"/>
    <col min="19" max="19" width="12" bestFit="1" customWidth="1"/>
  </cols>
  <sheetData>
    <row r="1" spans="1:46" x14ac:dyDescent="0.3">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6" ht="32.4" customHeight="1" x14ac:dyDescent="0.3">
      <c r="A2" s="1"/>
      <c r="B2" s="1"/>
      <c r="C2" s="1"/>
      <c r="D2" s="1"/>
      <c r="E2" s="3" t="s">
        <v>31</v>
      </c>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6" ht="15.45" customHeight="1" x14ac:dyDescent="0.3">
      <c r="A3" s="1"/>
      <c r="B3" s="1"/>
      <c r="C3" s="1"/>
      <c r="D3" s="1"/>
      <c r="E3" s="188" t="s">
        <v>331</v>
      </c>
      <c r="F3" s="188"/>
      <c r="G3" s="188"/>
      <c r="H3" s="188"/>
      <c r="I3" s="188"/>
      <c r="J3" s="188"/>
      <c r="K3" s="188"/>
      <c r="L3" s="188"/>
      <c r="M3" s="188"/>
      <c r="N3" s="188"/>
      <c r="O3" s="188"/>
      <c r="P3" s="188"/>
      <c r="Q3" s="188"/>
      <c r="R3" s="1"/>
      <c r="S3" s="1"/>
      <c r="T3" s="1"/>
      <c r="U3" s="1"/>
      <c r="V3" s="1"/>
      <c r="W3" s="1"/>
      <c r="X3" s="1"/>
      <c r="Y3" s="1"/>
      <c r="Z3" s="1"/>
      <c r="AA3" s="1"/>
      <c r="AB3" s="1"/>
      <c r="AC3" s="1"/>
      <c r="AD3" s="1"/>
      <c r="AE3" s="1"/>
      <c r="AF3" s="1"/>
      <c r="AG3" s="1"/>
      <c r="AH3" s="1"/>
      <c r="AI3" s="1"/>
      <c r="AJ3" s="1"/>
      <c r="AK3" s="1"/>
      <c r="AL3" s="1"/>
      <c r="AM3" s="1"/>
      <c r="AN3" s="1"/>
      <c r="AO3" s="1"/>
      <c r="AP3" s="1"/>
      <c r="AQ3" s="1"/>
      <c r="AR3" s="1"/>
      <c r="AS3" s="1"/>
    </row>
    <row r="4" spans="1:46" x14ac:dyDescent="0.3">
      <c r="A4" s="1"/>
      <c r="B4" s="1"/>
      <c r="C4" s="1"/>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6" ht="17.100000000000001" customHeight="1" x14ac:dyDescent="0.3">
      <c r="A5" s="1"/>
      <c r="B5" s="1"/>
      <c r="C5" s="1"/>
      <c r="D5" s="2"/>
      <c r="E5" s="30"/>
      <c r="F5" s="2"/>
      <c r="G5" s="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row>
    <row r="6" spans="1:46" x14ac:dyDescent="0.3">
      <c r="A6" s="1"/>
      <c r="B6" s="1"/>
      <c r="C6" s="1"/>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row>
    <row r="7" spans="1:46" x14ac:dyDescent="0.3">
      <c r="A7" s="1"/>
      <c r="B7" s="1"/>
      <c r="C7" s="1"/>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row>
    <row r="8" spans="1:46" ht="18.600000000000001" thickBot="1" x14ac:dyDescent="0.4">
      <c r="A8" s="1"/>
      <c r="B8" s="1"/>
      <c r="C8" s="1"/>
      <c r="D8" s="2"/>
      <c r="E8" s="31" t="s">
        <v>179</v>
      </c>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row>
    <row r="9" spans="1:46" x14ac:dyDescent="0.3">
      <c r="A9" s="1"/>
      <c r="B9" s="1"/>
      <c r="C9" s="1"/>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row>
    <row r="10" spans="1:46" ht="18" x14ac:dyDescent="0.35">
      <c r="A10" s="1"/>
      <c r="B10" s="1"/>
      <c r="C10" s="1"/>
      <c r="D10" s="2"/>
      <c r="E10" s="67" t="s">
        <v>180</v>
      </c>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row>
    <row r="11" spans="1:46" x14ac:dyDescent="0.3">
      <c r="A11" s="1"/>
      <c r="B11" s="1"/>
      <c r="C11" s="1"/>
      <c r="D11" s="2"/>
      <c r="E11" s="33" t="s">
        <v>181</v>
      </c>
      <c r="F11" s="36">
        <v>0.1</v>
      </c>
      <c r="G11" s="181">
        <v>15720.24</v>
      </c>
      <c r="H11" s="183"/>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row>
    <row r="12" spans="1:46" x14ac:dyDescent="0.3">
      <c r="A12" s="1"/>
      <c r="B12" s="1"/>
      <c r="C12" s="1"/>
      <c r="D12" s="2"/>
      <c r="E12" s="33" t="s">
        <v>320</v>
      </c>
      <c r="F12" s="36">
        <v>0.2</v>
      </c>
      <c r="G12" s="181">
        <f>1004*2</f>
        <v>2008</v>
      </c>
      <c r="H12" s="183"/>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row>
    <row r="13" spans="1:46" x14ac:dyDescent="0.3">
      <c r="A13" s="1"/>
      <c r="B13" s="1"/>
      <c r="C13" s="1"/>
      <c r="D13" s="2"/>
      <c r="E13" s="33" t="s">
        <v>178</v>
      </c>
      <c r="F13" s="33"/>
      <c r="G13" s="155"/>
      <c r="H13" s="30"/>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row>
    <row r="14" spans="1:46" x14ac:dyDescent="0.3">
      <c r="A14" s="1"/>
      <c r="B14" s="1"/>
      <c r="C14" s="1"/>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row>
    <row r="15" spans="1:46" ht="28.8" x14ac:dyDescent="0.3">
      <c r="A15" s="1"/>
      <c r="B15" s="1"/>
      <c r="C15" s="1"/>
      <c r="D15" s="2"/>
      <c r="E15" s="61" t="s">
        <v>38</v>
      </c>
      <c r="F15" s="20" t="s">
        <v>182</v>
      </c>
      <c r="G15" s="20" t="s">
        <v>183</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46" x14ac:dyDescent="0.3">
      <c r="A16" s="1"/>
      <c r="B16" s="1"/>
      <c r="C16" s="1"/>
      <c r="D16" s="2"/>
      <c r="E16" s="2" t="s">
        <v>42</v>
      </c>
      <c r="F16" s="19" t="s">
        <v>184</v>
      </c>
      <c r="G16" s="154"/>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row>
    <row r="17" spans="1:45" x14ac:dyDescent="0.3">
      <c r="A17" s="1"/>
      <c r="B17" s="1"/>
      <c r="C17" s="1"/>
      <c r="D17" s="2"/>
      <c r="E17" s="2" t="s">
        <v>63</v>
      </c>
      <c r="F17" s="19" t="s">
        <v>185</v>
      </c>
      <c r="G17" s="154"/>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row>
    <row r="18" spans="1:45" x14ac:dyDescent="0.3">
      <c r="A18" s="1"/>
      <c r="B18" s="1"/>
      <c r="C18" s="1"/>
      <c r="D18" s="2"/>
      <c r="E18" s="2" t="s">
        <v>64</v>
      </c>
      <c r="F18" s="19" t="s">
        <v>185</v>
      </c>
      <c r="G18" s="154"/>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row>
    <row r="19" spans="1:45" x14ac:dyDescent="0.3">
      <c r="A19" s="1"/>
      <c r="B19" s="1"/>
      <c r="C19" s="1"/>
      <c r="D19" s="2"/>
      <c r="E19" s="2" t="s">
        <v>71</v>
      </c>
      <c r="F19" s="19" t="s">
        <v>185</v>
      </c>
      <c r="G19" s="154"/>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row>
    <row r="20" spans="1:45" x14ac:dyDescent="0.3">
      <c r="A20" s="1"/>
      <c r="B20" s="1"/>
      <c r="C20" s="1"/>
      <c r="D20" s="2"/>
      <c r="E20" s="2" t="s">
        <v>65</v>
      </c>
      <c r="F20" s="19" t="s">
        <v>185</v>
      </c>
      <c r="G20" s="154"/>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row>
    <row r="21" spans="1:45" x14ac:dyDescent="0.3">
      <c r="A21" s="1"/>
      <c r="B21" s="1"/>
      <c r="C21" s="1"/>
      <c r="D21" s="2"/>
      <c r="E21" s="2" t="s">
        <v>66</v>
      </c>
      <c r="F21" s="19" t="s">
        <v>185</v>
      </c>
      <c r="G21" s="154"/>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row>
    <row r="22" spans="1:45" x14ac:dyDescent="0.3">
      <c r="A22" s="1"/>
      <c r="B22" s="1"/>
      <c r="C22" s="1"/>
      <c r="D22" s="2"/>
      <c r="E22" s="2" t="s">
        <v>285</v>
      </c>
      <c r="F22" s="19" t="s">
        <v>184</v>
      </c>
      <c r="G22" s="154"/>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row>
    <row r="23" spans="1:45" x14ac:dyDescent="0.3">
      <c r="A23" s="1"/>
      <c r="B23" s="1"/>
      <c r="C23" s="1"/>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row>
    <row r="24" spans="1:45" x14ac:dyDescent="0.3">
      <c r="A24" s="1"/>
      <c r="B24" s="1"/>
      <c r="C24" s="1"/>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row>
    <row r="25" spans="1:45" ht="18" x14ac:dyDescent="0.35">
      <c r="A25" s="1"/>
      <c r="B25" s="1"/>
      <c r="C25" s="1"/>
      <c r="D25" s="2"/>
      <c r="E25" s="67" t="s">
        <v>186</v>
      </c>
      <c r="F25" s="36">
        <v>0.03</v>
      </c>
      <c r="G25" s="15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row>
    <row r="26" spans="1:45" ht="18" x14ac:dyDescent="0.35">
      <c r="A26" s="1"/>
      <c r="B26" s="1"/>
      <c r="C26" s="1"/>
      <c r="D26" s="2"/>
      <c r="E26" s="67"/>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row>
    <row r="27" spans="1:45" ht="18" x14ac:dyDescent="0.35">
      <c r="A27" s="1"/>
      <c r="B27" s="1"/>
      <c r="C27" s="1"/>
      <c r="D27" s="2"/>
      <c r="E27" s="67" t="s">
        <v>187</v>
      </c>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row>
    <row r="28" spans="1:45" ht="18" x14ac:dyDescent="0.35">
      <c r="A28" s="1"/>
      <c r="B28" s="1"/>
      <c r="C28" s="1"/>
      <c r="D28" s="2"/>
      <c r="E28" s="67"/>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row>
    <row r="29" spans="1:45" x14ac:dyDescent="0.3">
      <c r="A29" s="1"/>
      <c r="B29" s="1"/>
      <c r="C29" s="1"/>
      <c r="D29" s="2"/>
      <c r="E29" s="33" t="s">
        <v>188</v>
      </c>
      <c r="F29" s="28">
        <v>150</v>
      </c>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row>
    <row r="30" spans="1:45" x14ac:dyDescent="0.3">
      <c r="A30" s="1"/>
      <c r="B30" s="1"/>
      <c r="C30" s="1"/>
      <c r="D30" s="2"/>
      <c r="E30" s="33" t="s">
        <v>189</v>
      </c>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row>
    <row r="31" spans="1:45" x14ac:dyDescent="0.3">
      <c r="A31" s="1"/>
      <c r="B31" s="1"/>
      <c r="C31" s="1"/>
      <c r="D31" s="2"/>
      <c r="E31" s="68" t="s">
        <v>190</v>
      </c>
      <c r="F31" s="28">
        <f>'NIHB cost'!C7</f>
        <v>17</v>
      </c>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row>
    <row r="32" spans="1:45" x14ac:dyDescent="0.3">
      <c r="A32" s="1"/>
      <c r="B32" s="1"/>
      <c r="C32" s="1"/>
      <c r="D32" s="2"/>
      <c r="E32" s="68" t="s">
        <v>191</v>
      </c>
      <c r="F32" s="28">
        <f>'NIHB cost'!C8</f>
        <v>68</v>
      </c>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row>
    <row r="33" spans="1:46" x14ac:dyDescent="0.3">
      <c r="A33" s="1"/>
      <c r="B33" s="1"/>
      <c r="C33" s="1"/>
      <c r="D33" s="2"/>
      <c r="E33" s="68" t="s">
        <v>192</v>
      </c>
      <c r="F33" s="28">
        <f>'NIHB cost'!C9</f>
        <v>283</v>
      </c>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row>
    <row r="34" spans="1:46" x14ac:dyDescent="0.3">
      <c r="A34" s="1"/>
      <c r="B34" s="1"/>
      <c r="C34" s="1"/>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row>
    <row r="35" spans="1:46" ht="28.8" x14ac:dyDescent="0.3">
      <c r="A35" s="1"/>
      <c r="B35" s="1"/>
      <c r="C35" s="1"/>
      <c r="D35" s="2"/>
      <c r="E35" s="61" t="s">
        <v>38</v>
      </c>
      <c r="F35" s="20" t="s">
        <v>182</v>
      </c>
      <c r="G35" s="20" t="s">
        <v>193</v>
      </c>
      <c r="H35" s="20" t="s">
        <v>194</v>
      </c>
      <c r="I35" s="20" t="s">
        <v>195</v>
      </c>
      <c r="J35" s="20" t="s">
        <v>183</v>
      </c>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row>
    <row r="36" spans="1:46" x14ac:dyDescent="0.3">
      <c r="A36" s="1"/>
      <c r="B36" s="1"/>
      <c r="C36" s="1"/>
      <c r="D36" s="2"/>
      <c r="E36" s="2" t="str">
        <f t="shared" ref="E36:F42" si="0">E16</f>
        <v>Xydalba</v>
      </c>
      <c r="F36" s="19" t="str">
        <f t="shared" si="0"/>
        <v>No</v>
      </c>
      <c r="G36" s="19" t="s">
        <v>184</v>
      </c>
      <c r="H36" s="48"/>
      <c r="I36" s="19" t="s">
        <v>184</v>
      </c>
      <c r="J36" s="154"/>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row>
    <row r="37" spans="1:46" x14ac:dyDescent="0.3">
      <c r="A37" s="1"/>
      <c r="B37" s="1"/>
      <c r="C37" s="1"/>
      <c r="D37" s="2"/>
      <c r="E37" s="2" t="str">
        <f t="shared" si="0"/>
        <v>Vancomycin IV</v>
      </c>
      <c r="F37" s="19" t="str">
        <f t="shared" si="0"/>
        <v>Yes</v>
      </c>
      <c r="G37" s="19" t="s">
        <v>185</v>
      </c>
      <c r="H37" s="48"/>
      <c r="I37" s="19" t="s">
        <v>185</v>
      </c>
      <c r="J37" s="154"/>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row>
    <row r="38" spans="1:46" x14ac:dyDescent="0.3">
      <c r="A38" s="1"/>
      <c r="B38" s="1"/>
      <c r="C38" s="1"/>
      <c r="D38" s="2"/>
      <c r="E38" s="2" t="str">
        <f t="shared" si="0"/>
        <v>Linezolid IV</v>
      </c>
      <c r="F38" s="19" t="str">
        <f t="shared" si="0"/>
        <v>Yes</v>
      </c>
      <c r="G38" s="19" t="s">
        <v>185</v>
      </c>
      <c r="H38" s="48"/>
      <c r="I38" s="19" t="s">
        <v>185</v>
      </c>
      <c r="J38" s="154"/>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row>
    <row r="39" spans="1:46" x14ac:dyDescent="0.3">
      <c r="A39" s="1"/>
      <c r="B39" s="1"/>
      <c r="C39" s="1"/>
      <c r="D39" s="2"/>
      <c r="E39" s="2" t="str">
        <f t="shared" si="0"/>
        <v>Daptomycin</v>
      </c>
      <c r="F39" s="19" t="str">
        <f t="shared" si="0"/>
        <v>Yes</v>
      </c>
      <c r="G39" s="19" t="s">
        <v>185</v>
      </c>
      <c r="H39" s="48"/>
      <c r="I39" s="19" t="s">
        <v>185</v>
      </c>
      <c r="J39" s="154"/>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row>
    <row r="40" spans="1:46" x14ac:dyDescent="0.3">
      <c r="A40" s="1"/>
      <c r="B40" s="1"/>
      <c r="C40" s="1"/>
      <c r="D40" s="2"/>
      <c r="E40" s="2" t="str">
        <f t="shared" si="0"/>
        <v>Cefazolin IV</v>
      </c>
      <c r="F40" s="19" t="str">
        <f t="shared" si="0"/>
        <v>Yes</v>
      </c>
      <c r="G40" s="19" t="s">
        <v>185</v>
      </c>
      <c r="H40" s="48"/>
      <c r="I40" s="19" t="s">
        <v>185</v>
      </c>
      <c r="J40" s="154"/>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row>
    <row r="41" spans="1:46" x14ac:dyDescent="0.3">
      <c r="A41" s="1"/>
      <c r="B41" s="1"/>
      <c r="C41" s="1"/>
      <c r="D41" s="2"/>
      <c r="E41" s="2" t="str">
        <f t="shared" si="0"/>
        <v>Ceftriaxone IV</v>
      </c>
      <c r="F41" s="19" t="str">
        <f t="shared" si="0"/>
        <v>Yes</v>
      </c>
      <c r="G41" s="19" t="s">
        <v>185</v>
      </c>
      <c r="H41" s="48"/>
      <c r="I41" s="19" t="s">
        <v>185</v>
      </c>
      <c r="J41" s="154"/>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row>
    <row r="42" spans="1:46" x14ac:dyDescent="0.3">
      <c r="A42" s="1"/>
      <c r="B42" s="1"/>
      <c r="C42" s="1"/>
      <c r="D42" s="2"/>
      <c r="E42" s="2" t="str">
        <f t="shared" si="0"/>
        <v>Other</v>
      </c>
      <c r="F42" s="19" t="str">
        <f t="shared" si="0"/>
        <v>No</v>
      </c>
      <c r="G42" s="19" t="s">
        <v>184</v>
      </c>
      <c r="H42" s="48"/>
      <c r="I42" s="19" t="s">
        <v>184</v>
      </c>
      <c r="J42" s="154"/>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row>
    <row r="43" spans="1:46" x14ac:dyDescent="0.3">
      <c r="A43" s="1"/>
      <c r="B43" s="1"/>
      <c r="C43" s="1"/>
      <c r="D43" s="2"/>
      <c r="E43" s="18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row>
    <row r="44" spans="1:46" x14ac:dyDescent="0.3">
      <c r="A44" s="1"/>
      <c r="B44" s="1"/>
      <c r="C44" s="1"/>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row>
    <row r="45" spans="1:46" x14ac:dyDescent="0.3">
      <c r="A45" s="1"/>
      <c r="B45" s="1"/>
      <c r="C45" s="1"/>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row>
    <row r="46" spans="1:46" ht="18.600000000000001" thickBot="1" x14ac:dyDescent="0.4">
      <c r="A46" s="1"/>
      <c r="B46" s="1"/>
      <c r="C46" s="1"/>
      <c r="D46" s="2"/>
      <c r="E46" s="31" t="s">
        <v>196</v>
      </c>
      <c r="F46" s="3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row>
    <row r="47" spans="1:46" x14ac:dyDescent="0.3">
      <c r="A47" s="1"/>
      <c r="B47" s="1"/>
      <c r="C47" s="1"/>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row>
    <row r="48" spans="1:46" x14ac:dyDescent="0.3">
      <c r="A48" s="1"/>
      <c r="B48" s="1"/>
      <c r="C48" s="1"/>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row>
    <row r="49" spans="1:45" x14ac:dyDescent="0.3">
      <c r="A49" s="1"/>
      <c r="B49" s="1"/>
      <c r="C49" s="1"/>
      <c r="D49" s="2"/>
      <c r="E49" s="84" t="s">
        <v>322</v>
      </c>
      <c r="F49" s="73">
        <v>1</v>
      </c>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row>
    <row r="50" spans="1:45" x14ac:dyDescent="0.3">
      <c r="A50" s="1"/>
      <c r="B50" s="1"/>
      <c r="C50" s="1"/>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row>
    <row r="51" spans="1:45" x14ac:dyDescent="0.3">
      <c r="A51" s="1"/>
      <c r="B51" s="1"/>
      <c r="C51" s="1"/>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row>
    <row r="52" spans="1:45" x14ac:dyDescent="0.3">
      <c r="A52" s="1"/>
      <c r="B52" s="1"/>
      <c r="C52" s="1"/>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row>
    <row r="53" spans="1:45" x14ac:dyDescent="0.3">
      <c r="A53" s="1"/>
      <c r="B53" s="1"/>
      <c r="C53" s="1"/>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row>
    <row r="54" spans="1:45" x14ac:dyDescent="0.3">
      <c r="A54" s="1"/>
      <c r="B54" s="1"/>
      <c r="C54" s="1"/>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row>
    <row r="55" spans="1:45" x14ac:dyDescent="0.3">
      <c r="A55" s="1"/>
      <c r="B55" s="1"/>
      <c r="C55" s="1"/>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row>
    <row r="56" spans="1:45" x14ac:dyDescent="0.3">
      <c r="A56" s="1"/>
      <c r="B56" s="1"/>
      <c r="C56" s="1"/>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1:45" x14ac:dyDescent="0.3">
      <c r="A57" s="1"/>
      <c r="B57" s="1"/>
      <c r="C57" s="1"/>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row>
    <row r="58" spans="1:45" x14ac:dyDescent="0.3">
      <c r="A58" s="1"/>
      <c r="B58" s="1"/>
      <c r="C58" s="1"/>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row>
    <row r="59" spans="1:45" x14ac:dyDescent="0.3">
      <c r="A59" s="1"/>
      <c r="B59" s="1"/>
      <c r="C59" s="1"/>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row>
    <row r="60" spans="1:45" x14ac:dyDescent="0.3">
      <c r="A60" s="1"/>
      <c r="B60" s="1"/>
      <c r="C60" s="1"/>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row>
    <row r="61" spans="1:45" x14ac:dyDescent="0.3">
      <c r="A61" s="1"/>
      <c r="B61" s="1"/>
      <c r="C61" s="1"/>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row>
    <row r="62" spans="1:45" x14ac:dyDescent="0.3">
      <c r="A62" s="1"/>
      <c r="B62" s="1"/>
      <c r="C62" s="1"/>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row>
    <row r="63" spans="1:45" x14ac:dyDescent="0.3">
      <c r="A63" s="1"/>
      <c r="B63" s="1"/>
      <c r="C63" s="1"/>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row>
    <row r="64" spans="1:45" x14ac:dyDescent="0.3">
      <c r="A64" s="1"/>
      <c r="B64" s="1"/>
      <c r="C64" s="1"/>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row>
  </sheetData>
  <mergeCells count="1">
    <mergeCell ref="E3:Q3"/>
  </mergeCells>
  <dataValidations count="1">
    <dataValidation type="list" allowBlank="1" showInputMessage="1" showErrorMessage="1" sqref="I36:I42 F16:F22 F36:G42" xr:uid="{630838F2-B0E1-4E22-9A5B-570C30DEAE1E}">
      <formula1>YesNo</formula1>
    </dataValidation>
  </dataValidations>
  <pageMargins left="0.7" right="0.7" top="0.75" bottom="0.75" header="0.3" footer="0.3"/>
  <pageSetup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695E90-2FFB-4959-BFAE-967903E98B92}">
  <sheetPr codeName="Sheet12"/>
  <dimension ref="A1:AU248"/>
  <sheetViews>
    <sheetView workbookViewId="0">
      <selection activeCell="E3" sqref="E3:Q3"/>
    </sheetView>
  </sheetViews>
  <sheetFormatPr defaultColWidth="8.88671875" defaultRowHeight="14.4" x14ac:dyDescent="0.3"/>
  <cols>
    <col min="1" max="2" width="9.44140625" style="81" customWidth="1"/>
    <col min="3" max="3" width="9.88671875" style="81" customWidth="1"/>
    <col min="4" max="4" width="8.88671875" style="81"/>
    <col min="5" max="5" width="46.5546875" style="81" customWidth="1"/>
    <col min="6" max="6" width="14" style="81" customWidth="1"/>
    <col min="7" max="7" width="14.44140625" style="81" customWidth="1"/>
    <col min="8" max="8" width="15.109375" style="81" customWidth="1"/>
    <col min="9" max="12" width="14" style="81" customWidth="1"/>
    <col min="13" max="15" width="15.5546875" style="81" customWidth="1"/>
    <col min="16" max="16" width="10" style="81" bestFit="1" customWidth="1"/>
    <col min="17" max="17" width="8.88671875" style="81"/>
    <col min="18" max="18" width="10" style="81" bestFit="1" customWidth="1"/>
    <col min="19" max="19" width="12" style="81" bestFit="1" customWidth="1"/>
    <col min="20" max="16384" width="8.88671875" style="81"/>
  </cols>
  <sheetData>
    <row r="1" spans="1:45" x14ac:dyDescent="0.3">
      <c r="A1" s="80"/>
      <c r="B1" s="80"/>
      <c r="C1" s="80"/>
      <c r="D1" s="80"/>
      <c r="E1" s="80"/>
      <c r="F1" s="80"/>
      <c r="G1" s="80"/>
      <c r="H1" s="80"/>
      <c r="I1" s="80"/>
      <c r="J1" s="80"/>
      <c r="K1" s="80"/>
      <c r="L1" s="80"/>
      <c r="M1" s="80"/>
      <c r="N1" s="80"/>
      <c r="O1" s="80"/>
      <c r="P1" s="80"/>
      <c r="Q1" s="80"/>
      <c r="R1" s="80"/>
      <c r="S1" s="80"/>
      <c r="T1" s="80"/>
      <c r="U1" s="80"/>
      <c r="V1" s="80"/>
      <c r="W1" s="80"/>
      <c r="X1" s="80"/>
      <c r="Y1" s="80"/>
      <c r="Z1" s="80"/>
      <c r="AA1" s="80"/>
      <c r="AB1" s="80"/>
      <c r="AC1" s="80"/>
      <c r="AD1" s="80"/>
      <c r="AE1" s="80"/>
      <c r="AF1" s="80"/>
      <c r="AG1" s="80"/>
      <c r="AH1" s="80"/>
      <c r="AI1" s="80"/>
      <c r="AJ1" s="80"/>
      <c r="AK1" s="80"/>
      <c r="AL1" s="80"/>
      <c r="AM1" s="80"/>
      <c r="AN1" s="80"/>
      <c r="AO1" s="80"/>
      <c r="AP1" s="80"/>
      <c r="AQ1" s="80"/>
      <c r="AR1" s="80"/>
      <c r="AS1" s="80"/>
    </row>
    <row r="2" spans="1:45" ht="32.4" customHeight="1" x14ac:dyDescent="0.3">
      <c r="A2" s="80"/>
      <c r="B2" s="80"/>
      <c r="C2" s="80"/>
      <c r="D2" s="80"/>
      <c r="E2" s="82" t="s">
        <v>31</v>
      </c>
      <c r="F2" s="80"/>
      <c r="G2" s="80"/>
      <c r="H2" s="80"/>
      <c r="I2" s="80"/>
      <c r="J2" s="80"/>
      <c r="K2" s="80"/>
      <c r="L2" s="80"/>
      <c r="M2" s="80"/>
      <c r="N2" s="80"/>
      <c r="O2" s="80"/>
      <c r="P2" s="80"/>
      <c r="Q2" s="80"/>
      <c r="R2" s="80"/>
      <c r="S2" s="80"/>
      <c r="T2" s="80"/>
      <c r="U2" s="80"/>
      <c r="V2" s="80"/>
      <c r="W2" s="80"/>
      <c r="X2" s="80"/>
      <c r="Y2" s="80"/>
      <c r="Z2" s="80"/>
      <c r="AA2" s="80"/>
      <c r="AB2" s="80"/>
      <c r="AC2" s="80"/>
      <c r="AD2" s="80"/>
      <c r="AE2" s="80"/>
      <c r="AF2" s="80"/>
      <c r="AG2" s="80"/>
      <c r="AH2" s="80"/>
      <c r="AI2" s="80"/>
      <c r="AJ2" s="80"/>
      <c r="AK2" s="80"/>
      <c r="AL2" s="80"/>
      <c r="AM2" s="80"/>
      <c r="AN2" s="80"/>
      <c r="AO2" s="80"/>
      <c r="AP2" s="80"/>
      <c r="AQ2" s="80"/>
      <c r="AR2" s="80"/>
      <c r="AS2" s="80"/>
    </row>
    <row r="3" spans="1:45" ht="15.45" customHeight="1" x14ac:dyDescent="0.3">
      <c r="A3" s="80"/>
      <c r="B3" s="80"/>
      <c r="C3" s="80"/>
      <c r="D3" s="80"/>
      <c r="E3" s="188" t="s">
        <v>331</v>
      </c>
      <c r="F3" s="188"/>
      <c r="G3" s="188"/>
      <c r="H3" s="188"/>
      <c r="I3" s="188"/>
      <c r="J3" s="188"/>
      <c r="K3" s="188"/>
      <c r="L3" s="188"/>
      <c r="M3" s="188"/>
      <c r="N3" s="188"/>
      <c r="O3" s="188"/>
      <c r="P3" s="188"/>
      <c r="Q3" s="188"/>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row>
    <row r="4" spans="1:45" x14ac:dyDescent="0.3">
      <c r="A4" s="80"/>
      <c r="B4" s="80"/>
      <c r="C4" s="80"/>
      <c r="D4" s="83"/>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83"/>
      <c r="AQ4" s="83"/>
      <c r="AR4" s="83"/>
      <c r="AS4" s="83"/>
    </row>
    <row r="5" spans="1:45" ht="17.100000000000001" customHeight="1" x14ac:dyDescent="0.3">
      <c r="A5" s="80"/>
      <c r="B5" s="80"/>
      <c r="C5" s="80"/>
      <c r="D5" s="83"/>
      <c r="E5" s="84"/>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c r="AS5" s="83"/>
    </row>
    <row r="6" spans="1:45" ht="18.600000000000001" thickBot="1" x14ac:dyDescent="0.4">
      <c r="A6" s="80"/>
      <c r="B6" s="80"/>
      <c r="C6" s="80"/>
      <c r="D6" s="83"/>
      <c r="E6" s="85" t="s">
        <v>32</v>
      </c>
      <c r="F6" s="86"/>
      <c r="G6" s="86"/>
      <c r="H6" s="86"/>
      <c r="I6" s="86"/>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row>
    <row r="7" spans="1:45" x14ac:dyDescent="0.3">
      <c r="A7" s="80"/>
      <c r="B7" s="80"/>
      <c r="C7" s="80"/>
      <c r="D7" s="83"/>
      <c r="E7" s="87"/>
      <c r="F7" s="87"/>
      <c r="G7" s="87"/>
      <c r="H7" s="87"/>
      <c r="I7" s="87"/>
      <c r="J7" s="87"/>
      <c r="K7" s="87"/>
      <c r="L7" s="87"/>
      <c r="M7" s="87"/>
      <c r="N7" s="87"/>
      <c r="O7" s="87"/>
      <c r="P7" s="83"/>
      <c r="Q7" s="83"/>
      <c r="R7" s="83"/>
      <c r="S7" s="83"/>
      <c r="T7" s="83"/>
      <c r="U7" s="83"/>
      <c r="V7" s="83"/>
      <c r="W7" s="83"/>
      <c r="X7" s="83"/>
      <c r="Y7" s="83"/>
      <c r="Z7" s="83"/>
      <c r="AA7" s="83"/>
      <c r="AB7" s="83"/>
      <c r="AC7" s="83"/>
      <c r="AD7" s="83"/>
      <c r="AE7" s="83"/>
      <c r="AF7" s="83"/>
      <c r="AG7" s="83"/>
      <c r="AH7" s="83"/>
      <c r="AI7" s="83"/>
      <c r="AJ7" s="83"/>
      <c r="AK7" s="83"/>
      <c r="AL7" s="83"/>
      <c r="AM7" s="83"/>
      <c r="AN7" s="83"/>
      <c r="AO7" s="83"/>
      <c r="AP7" s="83"/>
      <c r="AQ7" s="83"/>
      <c r="AR7" s="83"/>
      <c r="AS7" s="83"/>
    </row>
    <row r="8" spans="1:45" x14ac:dyDescent="0.3">
      <c r="A8" s="80"/>
      <c r="B8" s="80"/>
      <c r="C8" s="80"/>
      <c r="D8" s="83"/>
      <c r="E8" s="87"/>
      <c r="F8" s="87"/>
      <c r="G8" s="87"/>
      <c r="H8" s="87"/>
      <c r="I8" s="87"/>
      <c r="J8" s="87"/>
      <c r="K8" s="87"/>
      <c r="L8" s="87"/>
      <c r="M8" s="87"/>
      <c r="N8" s="87"/>
      <c r="O8" s="87"/>
      <c r="P8" s="83"/>
      <c r="Q8" s="83"/>
      <c r="R8" s="83"/>
      <c r="S8" s="83"/>
      <c r="T8" s="83"/>
      <c r="U8" s="83"/>
      <c r="V8" s="83"/>
      <c r="W8" s="83"/>
      <c r="X8" s="83"/>
      <c r="Y8" s="83"/>
      <c r="Z8" s="83"/>
      <c r="AA8" s="83"/>
      <c r="AB8" s="83"/>
      <c r="AC8" s="83"/>
      <c r="AD8" s="83"/>
      <c r="AE8" s="83"/>
      <c r="AF8" s="83"/>
      <c r="AG8" s="83"/>
      <c r="AH8" s="83"/>
      <c r="AI8" s="83"/>
      <c r="AJ8" s="83"/>
      <c r="AK8" s="83"/>
      <c r="AL8" s="83"/>
      <c r="AM8" s="83"/>
      <c r="AN8" s="83"/>
      <c r="AO8" s="83"/>
      <c r="AP8" s="83"/>
      <c r="AQ8" s="83"/>
      <c r="AR8" s="83"/>
      <c r="AS8" s="83"/>
    </row>
    <row r="9" spans="1:45" x14ac:dyDescent="0.3">
      <c r="A9" s="80"/>
      <c r="B9" s="80"/>
      <c r="C9" s="80"/>
      <c r="D9" s="83"/>
      <c r="E9" s="87"/>
      <c r="F9" s="87"/>
      <c r="G9" s="87"/>
      <c r="H9" s="87"/>
      <c r="I9" s="87"/>
      <c r="J9" s="87"/>
      <c r="K9" s="87"/>
      <c r="L9" s="87"/>
      <c r="M9" s="87"/>
      <c r="N9" s="87"/>
      <c r="O9" s="87"/>
      <c r="P9" s="83"/>
      <c r="Q9" s="83"/>
      <c r="R9" s="83"/>
      <c r="S9" s="83"/>
      <c r="T9" s="83"/>
      <c r="U9" s="83"/>
      <c r="V9" s="83"/>
      <c r="W9" s="83"/>
      <c r="X9" s="83"/>
      <c r="Y9" s="83"/>
      <c r="Z9" s="83"/>
      <c r="AA9" s="83"/>
      <c r="AB9" s="83"/>
      <c r="AC9" s="83"/>
      <c r="AD9" s="83"/>
      <c r="AE9" s="83"/>
      <c r="AF9" s="83"/>
      <c r="AG9" s="83"/>
      <c r="AH9" s="83"/>
      <c r="AI9" s="83"/>
      <c r="AJ9" s="83"/>
      <c r="AK9" s="83"/>
      <c r="AL9" s="83"/>
      <c r="AM9" s="83"/>
      <c r="AN9" s="83"/>
      <c r="AO9" s="83"/>
      <c r="AP9" s="83"/>
      <c r="AQ9" s="83"/>
      <c r="AR9" s="83"/>
      <c r="AS9" s="83"/>
    </row>
    <row r="10" spans="1:45" ht="15" customHeight="1" x14ac:dyDescent="0.3">
      <c r="A10" s="80"/>
      <c r="B10" s="80"/>
      <c r="C10" s="80"/>
      <c r="D10" s="83"/>
      <c r="E10" s="88" t="s">
        <v>33</v>
      </c>
      <c r="F10" s="84"/>
      <c r="G10" s="84"/>
      <c r="H10" s="84"/>
      <c r="I10" s="84"/>
      <c r="J10" s="89"/>
      <c r="K10" s="84"/>
      <c r="L10" s="84"/>
      <c r="M10" s="84"/>
      <c r="N10" s="84"/>
      <c r="O10" s="84"/>
      <c r="P10" s="83"/>
      <c r="Q10" s="83"/>
      <c r="R10" s="83"/>
      <c r="S10" s="83"/>
      <c r="T10" s="83"/>
      <c r="U10" s="83"/>
      <c r="V10" s="83"/>
      <c r="W10" s="83"/>
      <c r="X10" s="83"/>
      <c r="Y10" s="83"/>
      <c r="Z10" s="83"/>
      <c r="AA10" s="83"/>
      <c r="AB10" s="83"/>
      <c r="AC10" s="83"/>
      <c r="AD10" s="83"/>
      <c r="AE10" s="83"/>
      <c r="AF10" s="83"/>
      <c r="AG10" s="83"/>
      <c r="AH10" s="83"/>
      <c r="AI10" s="83"/>
      <c r="AJ10" s="83"/>
      <c r="AK10" s="83"/>
      <c r="AL10" s="83"/>
      <c r="AM10" s="83"/>
      <c r="AN10" s="83"/>
      <c r="AO10" s="83"/>
      <c r="AP10" s="83"/>
      <c r="AQ10" s="83"/>
      <c r="AR10" s="83"/>
      <c r="AS10" s="83"/>
    </row>
    <row r="11" spans="1:45" x14ac:dyDescent="0.3">
      <c r="A11" s="80"/>
      <c r="B11" s="80"/>
      <c r="C11" s="80"/>
      <c r="D11" s="83"/>
      <c r="E11" s="87"/>
      <c r="F11" s="87"/>
      <c r="G11" s="87"/>
      <c r="H11" s="87"/>
      <c r="I11" s="87"/>
      <c r="J11" s="90"/>
      <c r="K11" s="87"/>
      <c r="L11" s="87"/>
      <c r="M11" s="87"/>
      <c r="N11" s="87"/>
      <c r="O11" s="87"/>
      <c r="P11" s="83"/>
      <c r="Q11" s="83"/>
      <c r="R11" s="83"/>
      <c r="S11" s="83"/>
      <c r="T11" s="83"/>
      <c r="U11" s="83"/>
      <c r="V11" s="83"/>
      <c r="W11" s="83"/>
      <c r="X11" s="83"/>
      <c r="Y11" s="83"/>
      <c r="Z11" s="83"/>
      <c r="AA11" s="83"/>
      <c r="AB11" s="83"/>
      <c r="AC11" s="83"/>
      <c r="AD11" s="83"/>
      <c r="AE11" s="83"/>
      <c r="AF11" s="83"/>
      <c r="AG11" s="83"/>
      <c r="AH11" s="83"/>
      <c r="AI11" s="83"/>
      <c r="AJ11" s="83"/>
      <c r="AK11" s="83"/>
      <c r="AL11" s="83"/>
      <c r="AM11" s="83"/>
      <c r="AN11" s="83"/>
      <c r="AO11" s="83"/>
      <c r="AP11" s="83"/>
      <c r="AQ11" s="83"/>
      <c r="AR11" s="83"/>
      <c r="AS11" s="83"/>
    </row>
    <row r="12" spans="1:45" x14ac:dyDescent="0.3">
      <c r="A12" s="80"/>
      <c r="B12" s="80"/>
      <c r="C12" s="80"/>
      <c r="D12" s="83"/>
      <c r="E12" s="87"/>
      <c r="F12" s="87"/>
      <c r="G12" s="87"/>
      <c r="H12" s="87"/>
      <c r="I12" s="87"/>
      <c r="J12" s="90"/>
      <c r="K12" s="87"/>
      <c r="L12" s="87"/>
      <c r="M12" s="87"/>
      <c r="N12" s="87"/>
      <c r="O12" s="87"/>
      <c r="P12" s="83"/>
      <c r="Q12" s="83"/>
      <c r="R12" s="83"/>
      <c r="S12" s="83"/>
      <c r="T12" s="83"/>
      <c r="U12" s="83"/>
      <c r="V12" s="83"/>
      <c r="W12" s="83"/>
      <c r="X12" s="83"/>
      <c r="Y12" s="83"/>
      <c r="Z12" s="83"/>
      <c r="AA12" s="83"/>
      <c r="AB12" s="83"/>
      <c r="AC12" s="83"/>
      <c r="AD12" s="83"/>
      <c r="AE12" s="83"/>
      <c r="AF12" s="83"/>
      <c r="AG12" s="83"/>
      <c r="AH12" s="83"/>
      <c r="AI12" s="83"/>
      <c r="AJ12" s="83"/>
      <c r="AK12" s="83"/>
      <c r="AL12" s="83"/>
      <c r="AM12" s="83"/>
      <c r="AN12" s="83"/>
      <c r="AO12" s="83"/>
      <c r="AP12" s="83"/>
      <c r="AQ12" s="83"/>
      <c r="AR12" s="83"/>
      <c r="AS12" s="83"/>
    </row>
    <row r="13" spans="1:45" x14ac:dyDescent="0.3">
      <c r="A13" s="80"/>
      <c r="B13" s="80"/>
      <c r="C13" s="80"/>
      <c r="D13" s="83"/>
      <c r="E13" s="87"/>
      <c r="F13" s="87"/>
      <c r="G13" s="87"/>
      <c r="H13" s="87"/>
      <c r="I13" s="87"/>
      <c r="J13" s="90"/>
      <c r="K13" s="87"/>
      <c r="L13" s="87"/>
      <c r="M13" s="87"/>
      <c r="N13" s="87"/>
      <c r="O13" s="87"/>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c r="AS13" s="83"/>
    </row>
    <row r="14" spans="1:45" ht="43.65" customHeight="1" x14ac:dyDescent="0.3">
      <c r="A14" s="80"/>
      <c r="B14" s="80"/>
      <c r="C14" s="80"/>
      <c r="D14" s="83"/>
      <c r="E14" s="91" t="s">
        <v>34</v>
      </c>
      <c r="F14" s="195" t="str">
        <f>List!B16</f>
        <v>Hospitalisation required for the length of antibiotic treatment</v>
      </c>
      <c r="G14" s="195"/>
      <c r="H14" s="195"/>
      <c r="I14" s="195"/>
      <c r="J14" s="195"/>
      <c r="K14" s="195"/>
      <c r="L14" s="87"/>
      <c r="M14" s="87"/>
      <c r="N14" s="87"/>
      <c r="O14" s="87"/>
      <c r="P14" s="83"/>
      <c r="Q14" s="83"/>
      <c r="R14" s="83"/>
      <c r="S14" s="83"/>
      <c r="T14" s="83"/>
      <c r="U14" s="83"/>
      <c r="V14" s="83"/>
      <c r="W14" s="83"/>
      <c r="X14" s="83"/>
      <c r="Y14" s="83"/>
      <c r="Z14" s="83"/>
      <c r="AA14" s="83"/>
      <c r="AB14" s="83"/>
      <c r="AC14" s="83"/>
      <c r="AD14" s="83"/>
      <c r="AE14" s="83"/>
      <c r="AF14" s="83"/>
      <c r="AG14" s="83"/>
      <c r="AH14" s="83"/>
      <c r="AI14" s="83"/>
      <c r="AJ14" s="83"/>
      <c r="AK14" s="83"/>
      <c r="AL14" s="83"/>
      <c r="AM14" s="83"/>
      <c r="AN14" s="83"/>
      <c r="AO14" s="83"/>
      <c r="AP14" s="83"/>
      <c r="AQ14" s="83"/>
      <c r="AR14" s="83"/>
      <c r="AS14" s="83"/>
    </row>
    <row r="15" spans="1:45" ht="43.65" customHeight="1" x14ac:dyDescent="0.3">
      <c r="A15" s="80"/>
      <c r="B15" s="80"/>
      <c r="C15" s="80"/>
      <c r="D15" s="83"/>
      <c r="E15" s="91" t="s">
        <v>35</v>
      </c>
      <c r="F15" s="195" t="str">
        <f>CHOOSE(setting_LoSopt,List!B87,List!C87,List!D87,List!E87,List!F87)</f>
        <v>A patient who could be discharged but has a high likelihood of non-adherence to outpatient treatment (e.g., homeless, PWID)</v>
      </c>
      <c r="G15" s="195"/>
      <c r="H15" s="195"/>
      <c r="I15" s="195"/>
      <c r="J15" s="195"/>
      <c r="K15" s="195"/>
      <c r="L15" s="87"/>
      <c r="M15" s="87"/>
      <c r="N15" s="87"/>
      <c r="O15" s="87"/>
      <c r="P15" s="83"/>
      <c r="Q15" s="83"/>
      <c r="R15" s="83"/>
      <c r="S15" s="83"/>
      <c r="T15" s="83"/>
      <c r="U15" s="83"/>
      <c r="V15" s="83"/>
      <c r="W15" s="83"/>
      <c r="X15" s="83"/>
      <c r="Y15" s="83"/>
      <c r="Z15" s="83"/>
      <c r="AA15" s="83"/>
      <c r="AB15" s="83"/>
      <c r="AC15" s="83"/>
      <c r="AD15" s="83"/>
      <c r="AE15" s="83"/>
      <c r="AF15" s="83"/>
      <c r="AG15" s="83"/>
      <c r="AH15" s="83"/>
      <c r="AI15" s="83"/>
      <c r="AJ15" s="83"/>
      <c r="AK15" s="83"/>
      <c r="AL15" s="83"/>
      <c r="AM15" s="83"/>
      <c r="AN15" s="83"/>
      <c r="AO15" s="83"/>
      <c r="AP15" s="83"/>
      <c r="AQ15" s="83"/>
      <c r="AR15" s="83"/>
      <c r="AS15" s="83"/>
    </row>
    <row r="16" spans="1:45" ht="43.65" customHeight="1" x14ac:dyDescent="0.3">
      <c r="A16" s="80"/>
      <c r="B16" s="80"/>
      <c r="C16" s="80"/>
      <c r="D16" s="83"/>
      <c r="E16" s="91" t="s">
        <v>36</v>
      </c>
      <c r="F16" s="195" t="str">
        <f>CHOOSE(setting_LoSopt,List!B95,List!C95,List!D95,List!E95,List!F95)</f>
        <v>Xydalba: no hospitalisation; Comparators: hospital length of stay is set equal to the length of antibiotic treatment</v>
      </c>
      <c r="G16" s="195"/>
      <c r="H16" s="195"/>
      <c r="I16" s="195"/>
      <c r="J16" s="195"/>
      <c r="K16" s="195"/>
      <c r="L16" s="87"/>
      <c r="M16" s="87"/>
      <c r="N16" s="87"/>
      <c r="O16" s="87"/>
      <c r="P16" s="83"/>
      <c r="Q16" s="83"/>
      <c r="R16" s="83"/>
      <c r="S16" s="83"/>
      <c r="T16" s="83"/>
      <c r="U16" s="83"/>
      <c r="V16" s="83"/>
      <c r="W16" s="83"/>
      <c r="X16" s="83"/>
      <c r="Y16" s="83"/>
      <c r="Z16" s="83"/>
      <c r="AA16" s="83"/>
      <c r="AB16" s="83"/>
      <c r="AC16" s="83"/>
      <c r="AD16" s="83"/>
      <c r="AE16" s="83"/>
      <c r="AF16" s="83"/>
      <c r="AG16" s="83"/>
      <c r="AH16" s="83"/>
      <c r="AI16" s="83"/>
      <c r="AJ16" s="83"/>
      <c r="AK16" s="83"/>
      <c r="AL16" s="83"/>
      <c r="AM16" s="83"/>
      <c r="AN16" s="83"/>
      <c r="AO16" s="83"/>
      <c r="AP16" s="83"/>
      <c r="AQ16" s="83"/>
      <c r="AR16" s="83"/>
      <c r="AS16" s="83"/>
    </row>
    <row r="17" spans="1:45" x14ac:dyDescent="0.3">
      <c r="A17" s="80"/>
      <c r="B17" s="80"/>
      <c r="C17" s="80"/>
      <c r="D17" s="83"/>
      <c r="E17" s="87"/>
      <c r="F17" s="87"/>
      <c r="G17" s="87"/>
      <c r="H17" s="87"/>
      <c r="I17" s="87"/>
      <c r="J17" s="87"/>
      <c r="K17" s="87"/>
      <c r="L17" s="87"/>
      <c r="M17" s="87"/>
      <c r="N17" s="87"/>
      <c r="O17" s="87"/>
      <c r="P17" s="83"/>
      <c r="Q17" s="83"/>
      <c r="R17" s="83"/>
      <c r="S17" s="83"/>
      <c r="T17" s="83"/>
      <c r="U17" s="83"/>
      <c r="V17" s="83"/>
      <c r="W17" s="83"/>
      <c r="X17" s="83"/>
      <c r="Y17" s="83"/>
      <c r="Z17" s="83"/>
      <c r="AA17" s="83"/>
      <c r="AB17" s="83"/>
      <c r="AC17" s="83"/>
      <c r="AD17" s="83"/>
      <c r="AE17" s="83"/>
      <c r="AF17" s="83"/>
      <c r="AG17" s="83"/>
      <c r="AH17" s="83"/>
      <c r="AI17" s="83"/>
      <c r="AJ17" s="83"/>
      <c r="AK17" s="83"/>
      <c r="AL17" s="83"/>
      <c r="AM17" s="83"/>
      <c r="AN17" s="83"/>
      <c r="AO17" s="83"/>
      <c r="AP17" s="83"/>
      <c r="AQ17" s="83"/>
      <c r="AR17" s="83"/>
      <c r="AS17" s="83"/>
    </row>
    <row r="18" spans="1:45" x14ac:dyDescent="0.3">
      <c r="A18" s="80"/>
      <c r="B18" s="80"/>
      <c r="C18" s="80"/>
      <c r="D18" s="83"/>
      <c r="E18" s="87"/>
      <c r="F18" s="87"/>
      <c r="G18" s="87"/>
      <c r="H18" s="87"/>
      <c r="I18" s="87"/>
      <c r="J18" s="87"/>
      <c r="K18" s="87"/>
      <c r="L18" s="87"/>
      <c r="M18" s="87"/>
      <c r="N18" s="87"/>
      <c r="O18" s="87"/>
      <c r="P18" s="83"/>
      <c r="Q18" s="83"/>
      <c r="R18" s="83"/>
      <c r="S18" s="83"/>
      <c r="T18" s="83"/>
      <c r="U18" s="83"/>
      <c r="V18" s="83"/>
      <c r="W18" s="83"/>
      <c r="X18" s="83"/>
      <c r="Y18" s="83"/>
      <c r="Z18" s="83"/>
      <c r="AA18" s="83"/>
      <c r="AB18" s="83"/>
      <c r="AC18" s="83"/>
      <c r="AD18" s="83"/>
      <c r="AE18" s="83"/>
      <c r="AF18" s="83"/>
      <c r="AG18" s="83"/>
      <c r="AH18" s="83"/>
      <c r="AI18" s="83"/>
      <c r="AJ18" s="83"/>
      <c r="AK18" s="83"/>
      <c r="AL18" s="83"/>
      <c r="AM18" s="83"/>
      <c r="AN18" s="83"/>
      <c r="AO18" s="83"/>
      <c r="AP18" s="83"/>
      <c r="AQ18" s="83"/>
      <c r="AR18" s="83"/>
      <c r="AS18" s="83"/>
    </row>
    <row r="19" spans="1:45" ht="18" customHeight="1" thickBot="1" x14ac:dyDescent="0.35">
      <c r="A19" s="80"/>
      <c r="B19" s="80"/>
      <c r="C19" s="80"/>
      <c r="D19" s="83"/>
      <c r="E19" s="87"/>
      <c r="F19" s="196" t="s">
        <v>37</v>
      </c>
      <c r="G19" s="196"/>
      <c r="H19" s="196"/>
      <c r="I19" s="87"/>
      <c r="J19" s="87"/>
      <c r="K19" s="87"/>
      <c r="L19" s="87"/>
      <c r="M19" s="87"/>
      <c r="N19" s="87"/>
      <c r="O19" s="87"/>
      <c r="P19" s="83"/>
      <c r="Q19" s="83"/>
      <c r="R19" s="83"/>
      <c r="S19" s="83"/>
      <c r="T19" s="83"/>
      <c r="U19" s="83"/>
      <c r="V19" s="83"/>
      <c r="W19" s="83"/>
      <c r="X19" s="83"/>
      <c r="Y19" s="83"/>
      <c r="Z19" s="83"/>
      <c r="AA19" s="83"/>
      <c r="AB19" s="83"/>
      <c r="AC19" s="83"/>
      <c r="AD19" s="83"/>
      <c r="AE19" s="83"/>
      <c r="AF19" s="83"/>
      <c r="AG19" s="83"/>
      <c r="AH19" s="83"/>
      <c r="AI19" s="83"/>
      <c r="AJ19" s="83"/>
      <c r="AK19" s="83"/>
      <c r="AL19" s="83"/>
      <c r="AM19" s="83"/>
      <c r="AN19" s="83"/>
      <c r="AO19" s="83"/>
      <c r="AP19" s="83"/>
      <c r="AQ19" s="83"/>
      <c r="AR19" s="83"/>
      <c r="AS19" s="83"/>
    </row>
    <row r="20" spans="1:45" ht="28.8" x14ac:dyDescent="0.3">
      <c r="A20" s="80"/>
      <c r="B20" s="80"/>
      <c r="C20" s="80"/>
      <c r="D20" s="83"/>
      <c r="E20" s="92" t="s">
        <v>38</v>
      </c>
      <c r="F20" s="93" t="s">
        <v>39</v>
      </c>
      <c r="G20" s="93" t="s">
        <v>40</v>
      </c>
      <c r="H20" s="93" t="s">
        <v>41</v>
      </c>
      <c r="I20" s="83"/>
      <c r="J20" s="87"/>
      <c r="K20" s="87"/>
      <c r="L20" s="87"/>
      <c r="M20" s="87"/>
      <c r="N20" s="87"/>
      <c r="O20" s="83"/>
      <c r="P20" s="83"/>
      <c r="Q20" s="83"/>
      <c r="R20" s="83"/>
      <c r="S20" s="83"/>
      <c r="T20" s="83"/>
      <c r="U20" s="83"/>
      <c r="V20" s="83"/>
      <c r="W20" s="83"/>
      <c r="X20" s="83"/>
      <c r="Y20" s="83"/>
      <c r="Z20" s="83"/>
      <c r="AA20" s="83"/>
      <c r="AB20" s="83"/>
      <c r="AC20" s="83"/>
      <c r="AD20" s="83"/>
      <c r="AE20" s="83"/>
      <c r="AF20" s="83"/>
      <c r="AG20" s="83"/>
      <c r="AH20" s="83"/>
      <c r="AI20" s="83"/>
      <c r="AJ20" s="83"/>
      <c r="AK20" s="83"/>
      <c r="AL20" s="83"/>
      <c r="AM20" s="83"/>
      <c r="AN20" s="83"/>
      <c r="AO20" s="83"/>
      <c r="AP20" s="83"/>
      <c r="AQ20" s="83"/>
      <c r="AR20" s="83"/>
    </row>
    <row r="21" spans="1:45" x14ac:dyDescent="0.3">
      <c r="A21" s="80"/>
      <c r="B21" s="80"/>
      <c r="C21" s="80"/>
      <c r="D21" s="83"/>
      <c r="E21" s="87" t="s">
        <v>42</v>
      </c>
      <c r="F21" s="126"/>
      <c r="G21" s="169">
        <v>0</v>
      </c>
      <c r="H21" s="126"/>
      <c r="I21" s="83"/>
      <c r="J21" s="87"/>
      <c r="K21" s="87"/>
      <c r="L21" s="87"/>
      <c r="M21" s="87"/>
      <c r="N21" s="87"/>
      <c r="O21" s="83"/>
      <c r="P21" s="83"/>
      <c r="Q21" s="83"/>
      <c r="R21" s="83"/>
      <c r="S21" s="83"/>
      <c r="T21" s="83"/>
      <c r="U21" s="83"/>
      <c r="V21" s="83"/>
      <c r="W21" s="83"/>
      <c r="X21" s="83"/>
      <c r="Y21" s="83"/>
      <c r="Z21" s="83"/>
      <c r="AA21" s="83"/>
      <c r="AB21" s="83"/>
      <c r="AC21" s="83"/>
      <c r="AD21" s="83"/>
      <c r="AE21" s="83"/>
      <c r="AF21" s="83"/>
      <c r="AG21" s="83"/>
      <c r="AH21" s="83"/>
      <c r="AI21" s="83"/>
      <c r="AJ21" s="83"/>
      <c r="AK21" s="83"/>
      <c r="AL21" s="83"/>
      <c r="AM21" s="83"/>
      <c r="AN21" s="83"/>
      <c r="AO21" s="83"/>
      <c r="AP21" s="83"/>
      <c r="AQ21" s="83"/>
      <c r="AR21" s="83"/>
    </row>
    <row r="22" spans="1:45" x14ac:dyDescent="0.3">
      <c r="A22" s="80"/>
      <c r="B22" s="80"/>
      <c r="C22" s="80"/>
      <c r="D22" s="83"/>
      <c r="E22" s="87" t="str">
        <f>E47</f>
        <v>Vancomycin IV</v>
      </c>
      <c r="F22" s="126"/>
      <c r="G22" s="169">
        <v>0</v>
      </c>
      <c r="H22" s="126"/>
      <c r="I22" s="83"/>
      <c r="J22" s="87"/>
      <c r="K22" s="87"/>
      <c r="L22" s="87"/>
      <c r="M22" s="87"/>
      <c r="N22" s="87"/>
      <c r="O22" s="83"/>
      <c r="P22" s="83"/>
      <c r="Q22" s="83"/>
      <c r="R22" s="83"/>
      <c r="S22" s="83"/>
      <c r="T22" s="83"/>
      <c r="U22" s="83"/>
      <c r="V22" s="83"/>
      <c r="W22" s="83"/>
      <c r="X22" s="83"/>
      <c r="Y22" s="83"/>
      <c r="Z22" s="83"/>
      <c r="AA22" s="83"/>
      <c r="AB22" s="83"/>
      <c r="AC22" s="83"/>
      <c r="AD22" s="83"/>
      <c r="AE22" s="83"/>
      <c r="AF22" s="83"/>
      <c r="AG22" s="83"/>
      <c r="AH22" s="83"/>
      <c r="AI22" s="83"/>
      <c r="AJ22" s="83"/>
      <c r="AK22" s="83"/>
      <c r="AL22" s="83"/>
      <c r="AM22" s="83"/>
      <c r="AN22" s="83"/>
      <c r="AO22" s="83"/>
      <c r="AP22" s="83"/>
      <c r="AQ22" s="83"/>
      <c r="AR22" s="83"/>
    </row>
    <row r="23" spans="1:45" x14ac:dyDescent="0.3">
      <c r="A23" s="80"/>
      <c r="B23" s="80"/>
      <c r="C23" s="80"/>
      <c r="D23" s="83"/>
      <c r="E23" s="87" t="str">
        <f>E48</f>
        <v>Linezolid IV</v>
      </c>
      <c r="F23" s="126"/>
      <c r="G23" s="169">
        <v>0</v>
      </c>
      <c r="H23" s="126"/>
      <c r="I23" s="83"/>
      <c r="J23" s="94"/>
      <c r="K23" s="94"/>
      <c r="L23" s="94"/>
      <c r="M23" s="94"/>
      <c r="N23" s="94"/>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3"/>
      <c r="AN23" s="83"/>
      <c r="AO23" s="83"/>
      <c r="AP23" s="83"/>
      <c r="AQ23" s="83"/>
      <c r="AR23" s="83"/>
    </row>
    <row r="24" spans="1:45" x14ac:dyDescent="0.3">
      <c r="A24" s="80"/>
      <c r="B24" s="80"/>
      <c r="C24" s="80"/>
      <c r="D24" s="83"/>
      <c r="E24" s="87" t="str">
        <f>E53</f>
        <v>Daptomycin</v>
      </c>
      <c r="F24" s="126"/>
      <c r="G24" s="169">
        <v>0</v>
      </c>
      <c r="H24" s="126"/>
      <c r="I24" s="83"/>
      <c r="J24" s="95"/>
      <c r="K24" s="95"/>
      <c r="L24" s="95"/>
      <c r="M24" s="95"/>
      <c r="N24" s="95"/>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3"/>
      <c r="AN24" s="83"/>
      <c r="AO24" s="83"/>
      <c r="AP24" s="83"/>
      <c r="AQ24" s="83"/>
      <c r="AR24" s="83"/>
    </row>
    <row r="25" spans="1:45" x14ac:dyDescent="0.3">
      <c r="A25" s="80"/>
      <c r="B25" s="80"/>
      <c r="C25" s="80"/>
      <c r="D25" s="83"/>
      <c r="E25" s="87" t="str">
        <f>E49</f>
        <v>Cefazolin IV</v>
      </c>
      <c r="F25" s="126"/>
      <c r="G25" s="169">
        <v>0</v>
      </c>
      <c r="H25" s="126"/>
      <c r="I25" s="83"/>
      <c r="J25" s="84"/>
      <c r="K25" s="84"/>
      <c r="L25" s="84"/>
      <c r="M25" s="84"/>
      <c r="N25" s="84"/>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c r="AQ25" s="83"/>
      <c r="AR25" s="83"/>
    </row>
    <row r="26" spans="1:45" x14ac:dyDescent="0.3">
      <c r="A26" s="80"/>
      <c r="B26" s="80"/>
      <c r="C26" s="80"/>
      <c r="D26" s="83"/>
      <c r="E26" s="87" t="str">
        <f>E50</f>
        <v>Ceftriaxone IV</v>
      </c>
      <c r="F26" s="126"/>
      <c r="G26" s="169">
        <v>0</v>
      </c>
      <c r="H26" s="126"/>
      <c r="I26" s="83"/>
      <c r="J26" s="84"/>
      <c r="L26" s="84"/>
      <c r="M26" s="84"/>
      <c r="N26" s="84"/>
      <c r="O26" s="83"/>
      <c r="P26" s="83"/>
      <c r="Q26" s="83"/>
      <c r="R26" s="83"/>
      <c r="S26" s="83"/>
      <c r="T26" s="83"/>
      <c r="U26" s="83"/>
      <c r="V26" s="83"/>
      <c r="W26" s="83"/>
      <c r="X26" s="83"/>
      <c r="Y26" s="83"/>
      <c r="Z26" s="83"/>
      <c r="AA26" s="83"/>
      <c r="AB26" s="83"/>
      <c r="AC26" s="83"/>
      <c r="AD26" s="83"/>
      <c r="AE26" s="83"/>
      <c r="AF26" s="83"/>
      <c r="AG26" s="83"/>
      <c r="AH26" s="83"/>
      <c r="AI26" s="83"/>
      <c r="AJ26" s="83"/>
      <c r="AK26" s="83"/>
      <c r="AL26" s="83"/>
      <c r="AM26" s="83"/>
      <c r="AN26" s="83"/>
      <c r="AO26" s="83"/>
      <c r="AP26" s="83"/>
      <c r="AQ26" s="83"/>
      <c r="AR26" s="83"/>
    </row>
    <row r="27" spans="1:45" x14ac:dyDescent="0.3">
      <c r="A27" s="80"/>
      <c r="B27" s="80"/>
      <c r="C27" s="80"/>
      <c r="D27" s="83"/>
      <c r="E27" s="87" t="s">
        <v>285</v>
      </c>
      <c r="F27" s="126"/>
      <c r="G27" s="169">
        <v>0</v>
      </c>
      <c r="H27" s="126"/>
      <c r="I27" s="83"/>
      <c r="J27" s="84"/>
      <c r="L27" s="84"/>
      <c r="M27" s="84"/>
      <c r="N27" s="84"/>
      <c r="O27" s="83"/>
      <c r="P27" s="83"/>
      <c r="Q27" s="83"/>
      <c r="R27" s="83"/>
      <c r="S27" s="83"/>
      <c r="T27" s="83"/>
      <c r="U27" s="83"/>
      <c r="V27" s="83"/>
      <c r="W27" s="83"/>
      <c r="X27" s="83"/>
      <c r="Y27" s="83"/>
      <c r="Z27" s="83"/>
      <c r="AA27" s="83"/>
      <c r="AB27" s="83"/>
      <c r="AC27" s="83"/>
      <c r="AD27" s="83"/>
      <c r="AE27" s="83"/>
      <c r="AF27" s="83"/>
      <c r="AG27" s="83"/>
      <c r="AH27" s="83"/>
      <c r="AI27" s="83"/>
      <c r="AJ27" s="83"/>
      <c r="AK27" s="83"/>
      <c r="AL27" s="83"/>
      <c r="AM27" s="83"/>
      <c r="AN27" s="83"/>
      <c r="AO27" s="83"/>
      <c r="AP27" s="83"/>
      <c r="AQ27" s="83"/>
      <c r="AR27" s="83"/>
    </row>
    <row r="28" spans="1:45" x14ac:dyDescent="0.3">
      <c r="A28" s="80"/>
      <c r="B28" s="80"/>
      <c r="C28" s="80"/>
      <c r="D28" s="83"/>
      <c r="E28" s="96"/>
      <c r="F28" s="84"/>
      <c r="G28" s="84"/>
      <c r="H28" s="84"/>
      <c r="I28" s="84"/>
      <c r="J28" s="84"/>
      <c r="K28" s="84"/>
      <c r="L28" s="84"/>
      <c r="M28" s="84"/>
      <c r="N28" s="84"/>
      <c r="O28" s="84"/>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row>
    <row r="29" spans="1:45" x14ac:dyDescent="0.3">
      <c r="A29" s="80"/>
      <c r="B29" s="80"/>
      <c r="C29" s="80"/>
      <c r="D29" s="83"/>
      <c r="E29" s="97"/>
      <c r="F29" s="84"/>
      <c r="G29" s="84"/>
      <c r="H29" s="84"/>
      <c r="I29" s="84"/>
      <c r="J29" s="84"/>
      <c r="K29" s="84"/>
      <c r="L29" s="84"/>
      <c r="M29" s="84"/>
      <c r="N29" s="84"/>
      <c r="O29" s="84"/>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row>
    <row r="30" spans="1:45" x14ac:dyDescent="0.3">
      <c r="A30" s="80"/>
      <c r="B30" s="80"/>
      <c r="C30" s="80"/>
      <c r="D30" s="83"/>
      <c r="E30" s="83"/>
      <c r="F30" s="83"/>
      <c r="G30" s="83"/>
      <c r="H30" s="83"/>
      <c r="I30" s="83"/>
      <c r="J30" s="83"/>
      <c r="K30" s="83"/>
      <c r="L30" s="83"/>
      <c r="M30" s="83"/>
      <c r="N30" s="83"/>
      <c r="O30" s="83"/>
      <c r="P30" s="83"/>
      <c r="Q30" s="83"/>
      <c r="R30" s="83"/>
      <c r="S30" s="83"/>
      <c r="T30" s="83"/>
      <c r="U30" s="83"/>
      <c r="V30" s="83"/>
      <c r="W30" s="83"/>
      <c r="X30" s="83"/>
      <c r="Y30" s="83"/>
      <c r="Z30" s="83"/>
      <c r="AA30" s="83"/>
      <c r="AB30" s="83"/>
      <c r="AC30" s="83"/>
      <c r="AD30" s="83"/>
      <c r="AE30" s="83"/>
      <c r="AF30" s="83"/>
      <c r="AG30" s="83"/>
      <c r="AH30" s="83"/>
      <c r="AI30" s="83"/>
      <c r="AJ30" s="83"/>
      <c r="AK30" s="83"/>
      <c r="AL30" s="83"/>
      <c r="AM30" s="83"/>
      <c r="AN30" s="83"/>
      <c r="AO30" s="83"/>
      <c r="AP30" s="83"/>
      <c r="AQ30" s="83"/>
      <c r="AR30" s="83"/>
      <c r="AS30" s="83"/>
    </row>
    <row r="31" spans="1:45" ht="15" customHeight="1" thickBot="1" x14ac:dyDescent="0.4">
      <c r="A31" s="80"/>
      <c r="B31" s="80"/>
      <c r="C31" s="80"/>
      <c r="D31" s="83"/>
      <c r="E31" s="85" t="s">
        <v>43</v>
      </c>
      <c r="F31" s="86"/>
      <c r="G31" s="86"/>
      <c r="H31" s="86"/>
      <c r="I31" s="86"/>
      <c r="J31" s="86"/>
      <c r="K31" s="86"/>
      <c r="L31" s="86"/>
      <c r="M31" s="86"/>
      <c r="N31" s="86"/>
      <c r="O31" s="86"/>
      <c r="P31" s="86"/>
      <c r="Q31" s="86"/>
      <c r="R31" s="86"/>
      <c r="S31" s="86"/>
      <c r="T31" s="86"/>
      <c r="U31" s="86"/>
      <c r="V31" s="86"/>
      <c r="W31" s="86"/>
      <c r="X31" s="86"/>
      <c r="Y31" s="86"/>
      <c r="Z31" s="86"/>
      <c r="AA31" s="86"/>
      <c r="AB31" s="86"/>
      <c r="AC31" s="86"/>
      <c r="AD31" s="86"/>
      <c r="AE31" s="86"/>
      <c r="AF31" s="86"/>
      <c r="AG31" s="86"/>
      <c r="AH31" s="86"/>
      <c r="AI31" s="86"/>
      <c r="AJ31" s="86"/>
      <c r="AK31" s="86"/>
      <c r="AL31" s="86"/>
      <c r="AM31" s="86"/>
      <c r="AN31" s="86"/>
      <c r="AO31" s="86"/>
      <c r="AP31" s="86"/>
      <c r="AQ31" s="86"/>
      <c r="AR31" s="86"/>
      <c r="AS31" s="86"/>
    </row>
    <row r="32" spans="1:45" ht="15" customHeight="1" x14ac:dyDescent="0.3">
      <c r="A32" s="80"/>
      <c r="B32" s="80"/>
      <c r="C32" s="80"/>
      <c r="D32" s="83"/>
      <c r="E32" s="84"/>
      <c r="F32" s="84"/>
      <c r="G32" s="84"/>
      <c r="H32" s="84"/>
      <c r="I32" s="84"/>
      <c r="J32" s="84"/>
      <c r="K32" s="84"/>
      <c r="L32" s="84"/>
      <c r="M32" s="84"/>
      <c r="N32" s="84"/>
      <c r="O32" s="84"/>
      <c r="P32" s="83"/>
      <c r="Q32" s="83"/>
      <c r="R32" s="83"/>
      <c r="S32" s="83"/>
      <c r="T32" s="83"/>
      <c r="U32" s="83"/>
      <c r="V32" s="83"/>
      <c r="W32" s="83"/>
      <c r="X32" s="83"/>
      <c r="Y32" s="83"/>
      <c r="Z32" s="83"/>
      <c r="AA32" s="83"/>
      <c r="AB32" s="83"/>
      <c r="AC32" s="83"/>
      <c r="AD32" s="83"/>
      <c r="AE32" s="83"/>
      <c r="AF32" s="83"/>
      <c r="AG32" s="83"/>
      <c r="AH32" s="83"/>
      <c r="AI32" s="83"/>
      <c r="AJ32" s="83"/>
      <c r="AK32" s="83"/>
      <c r="AL32" s="83"/>
      <c r="AM32" s="83"/>
      <c r="AN32" s="83"/>
      <c r="AO32" s="83"/>
      <c r="AP32" s="83"/>
      <c r="AQ32" s="83"/>
      <c r="AR32" s="83"/>
      <c r="AS32" s="83"/>
    </row>
    <row r="33" spans="1:46" ht="15" customHeight="1" x14ac:dyDescent="0.3">
      <c r="A33" s="80"/>
      <c r="B33" s="80"/>
      <c r="C33" s="80"/>
      <c r="D33" s="83"/>
      <c r="E33" s="88"/>
      <c r="F33" s="84"/>
      <c r="G33" s="84"/>
      <c r="H33" s="84"/>
      <c r="I33" s="84"/>
      <c r="J33" s="84"/>
      <c r="K33" s="84"/>
      <c r="L33" s="84"/>
      <c r="M33" s="84"/>
      <c r="N33" s="84"/>
      <c r="O33" s="84"/>
      <c r="P33" s="83"/>
      <c r="Q33" s="83"/>
      <c r="R33" s="83"/>
      <c r="S33" s="83"/>
      <c r="T33" s="83"/>
      <c r="U33" s="83"/>
      <c r="V33" s="83"/>
      <c r="W33" s="83"/>
      <c r="X33" s="83"/>
      <c r="Y33" s="83"/>
      <c r="Z33" s="83"/>
      <c r="AA33" s="83"/>
      <c r="AB33" s="83"/>
      <c r="AC33" s="83"/>
      <c r="AD33" s="83"/>
      <c r="AE33" s="83"/>
      <c r="AF33" s="83"/>
      <c r="AG33" s="83"/>
      <c r="AH33" s="83"/>
      <c r="AI33" s="83"/>
      <c r="AJ33" s="83"/>
      <c r="AK33" s="83"/>
      <c r="AL33" s="83"/>
      <c r="AM33" s="83"/>
      <c r="AN33" s="83"/>
      <c r="AO33" s="83"/>
      <c r="AP33" s="83"/>
      <c r="AQ33" s="83"/>
      <c r="AR33" s="83"/>
      <c r="AS33" s="83"/>
    </row>
    <row r="34" spans="1:46" ht="15" customHeight="1" x14ac:dyDescent="0.3">
      <c r="A34" s="80"/>
      <c r="B34" s="80"/>
      <c r="C34" s="80"/>
      <c r="D34" s="83"/>
      <c r="E34" s="97" t="s">
        <v>44</v>
      </c>
      <c r="F34" s="72">
        <f>2871.5/1500</f>
        <v>1.9143333333333334</v>
      </c>
      <c r="G34" s="150"/>
      <c r="H34" s="84"/>
      <c r="I34" s="84"/>
      <c r="J34" s="84"/>
      <c r="K34" s="84"/>
      <c r="L34" s="84"/>
      <c r="M34" s="84"/>
      <c r="N34" s="84"/>
      <c r="O34" s="84"/>
      <c r="P34" s="83"/>
      <c r="Q34" s="83"/>
      <c r="R34" s="83"/>
      <c r="S34" s="83"/>
      <c r="T34" s="83"/>
      <c r="U34" s="83"/>
      <c r="V34" s="83"/>
      <c r="W34" s="83"/>
      <c r="X34" s="83"/>
      <c r="Y34" s="83"/>
      <c r="Z34" s="83"/>
      <c r="AA34" s="83"/>
      <c r="AB34" s="83"/>
      <c r="AC34" s="83"/>
      <c r="AD34" s="83"/>
      <c r="AE34" s="83"/>
      <c r="AF34" s="83"/>
      <c r="AG34" s="83"/>
      <c r="AH34" s="83"/>
      <c r="AI34" s="83"/>
      <c r="AJ34" s="83"/>
      <c r="AK34" s="83"/>
      <c r="AL34" s="83"/>
      <c r="AM34" s="83"/>
      <c r="AN34" s="83"/>
      <c r="AO34" s="83"/>
      <c r="AP34" s="83"/>
      <c r="AQ34" s="83"/>
      <c r="AR34" s="83"/>
      <c r="AS34" s="83"/>
    </row>
    <row r="35" spans="1:46" ht="15" customHeight="1" x14ac:dyDescent="0.3">
      <c r="A35" s="80"/>
      <c r="B35" s="80"/>
      <c r="C35" s="80"/>
      <c r="D35" s="83"/>
      <c r="E35" s="88"/>
      <c r="F35" s="84"/>
      <c r="G35" s="84"/>
      <c r="H35" s="84"/>
      <c r="I35" s="84"/>
      <c r="J35" s="84"/>
      <c r="K35" s="84"/>
      <c r="L35" s="84"/>
      <c r="M35" s="84"/>
      <c r="N35" s="84"/>
      <c r="O35" s="84"/>
      <c r="P35" s="83"/>
      <c r="Q35" s="83"/>
      <c r="R35" s="83"/>
      <c r="S35" s="83"/>
      <c r="T35" s="83"/>
      <c r="U35" s="83"/>
      <c r="V35" s="83"/>
      <c r="W35" s="83"/>
      <c r="X35" s="83"/>
      <c r="Y35" s="83"/>
      <c r="Z35" s="83"/>
      <c r="AA35" s="83"/>
      <c r="AB35" s="83"/>
      <c r="AC35" s="83"/>
      <c r="AD35" s="83"/>
      <c r="AE35" s="83"/>
      <c r="AF35" s="83"/>
      <c r="AG35" s="83"/>
      <c r="AH35" s="83"/>
      <c r="AI35" s="83"/>
      <c r="AJ35" s="83"/>
      <c r="AK35" s="83"/>
      <c r="AL35" s="83"/>
      <c r="AM35" s="83"/>
      <c r="AN35" s="83"/>
      <c r="AO35" s="83"/>
      <c r="AP35" s="83"/>
      <c r="AQ35" s="83"/>
      <c r="AR35" s="83"/>
      <c r="AS35" s="83"/>
    </row>
    <row r="36" spans="1:46" ht="15" customHeight="1" x14ac:dyDescent="0.3">
      <c r="A36" s="80"/>
      <c r="B36" s="80"/>
      <c r="C36" s="80"/>
      <c r="D36" s="83"/>
      <c r="E36" s="88"/>
      <c r="F36" s="84"/>
      <c r="G36" s="84"/>
      <c r="H36" s="84"/>
      <c r="I36" s="84"/>
      <c r="J36" s="84"/>
      <c r="K36" s="84"/>
      <c r="L36" s="84"/>
      <c r="M36" s="84"/>
      <c r="N36" s="84"/>
      <c r="O36" s="84"/>
      <c r="P36" s="83"/>
      <c r="Q36" s="83"/>
      <c r="R36" s="83"/>
      <c r="S36" s="83"/>
      <c r="T36" s="83"/>
      <c r="U36" s="83"/>
      <c r="V36" s="83"/>
      <c r="W36" s="83"/>
      <c r="X36" s="83"/>
      <c r="Y36" s="83"/>
      <c r="Z36" s="83"/>
      <c r="AA36" s="83"/>
      <c r="AB36" s="83"/>
      <c r="AC36" s="83"/>
      <c r="AD36" s="83"/>
      <c r="AE36" s="83"/>
      <c r="AF36" s="83"/>
      <c r="AG36" s="83"/>
      <c r="AH36" s="83"/>
      <c r="AI36" s="83"/>
      <c r="AJ36" s="83"/>
      <c r="AK36" s="83"/>
      <c r="AL36" s="83"/>
      <c r="AM36" s="83"/>
      <c r="AN36" s="83"/>
      <c r="AO36" s="83"/>
      <c r="AP36" s="83"/>
      <c r="AQ36" s="83"/>
      <c r="AR36" s="83"/>
      <c r="AS36" s="83"/>
    </row>
    <row r="37" spans="1:46" ht="15" customHeight="1" x14ac:dyDescent="0.3">
      <c r="A37" s="80"/>
      <c r="B37" s="80"/>
      <c r="C37" s="80"/>
      <c r="D37" s="83"/>
      <c r="E37" s="97" t="s">
        <v>46</v>
      </c>
      <c r="F37" s="84"/>
      <c r="G37" s="84"/>
      <c r="H37" s="84"/>
      <c r="I37" s="84"/>
      <c r="J37" s="84"/>
      <c r="K37" s="84"/>
      <c r="L37" s="84"/>
      <c r="M37" s="84"/>
      <c r="N37" s="84"/>
      <c r="O37" s="84"/>
      <c r="P37" s="83"/>
      <c r="Q37" s="83"/>
      <c r="R37" s="83"/>
      <c r="S37" s="83"/>
      <c r="T37" s="83"/>
      <c r="U37" s="83"/>
      <c r="V37" s="83"/>
      <c r="W37" s="83"/>
      <c r="X37" s="83"/>
      <c r="Y37" s="83"/>
      <c r="Z37" s="83"/>
      <c r="AA37" s="83"/>
      <c r="AB37" s="83"/>
      <c r="AC37" s="83"/>
      <c r="AD37" s="83"/>
      <c r="AE37" s="83"/>
      <c r="AF37" s="83"/>
      <c r="AG37" s="83"/>
      <c r="AH37" s="83"/>
      <c r="AI37" s="83"/>
      <c r="AJ37" s="83"/>
      <c r="AK37" s="83"/>
      <c r="AL37" s="83"/>
      <c r="AM37" s="83"/>
      <c r="AN37" s="83"/>
      <c r="AO37" s="83"/>
      <c r="AP37" s="83"/>
      <c r="AQ37" s="83"/>
      <c r="AR37" s="83"/>
      <c r="AS37" s="83"/>
    </row>
    <row r="38" spans="1:46" ht="15" customHeight="1" x14ac:dyDescent="0.3">
      <c r="A38" s="80"/>
      <c r="B38" s="80"/>
      <c r="C38" s="80"/>
      <c r="D38" s="83"/>
      <c r="E38" s="88"/>
      <c r="F38" s="84"/>
      <c r="G38" s="84"/>
      <c r="H38" s="84"/>
      <c r="I38" s="84"/>
      <c r="J38" s="84"/>
      <c r="K38" s="84"/>
      <c r="L38" s="84"/>
      <c r="M38" s="84"/>
      <c r="N38" s="84"/>
      <c r="O38" s="84"/>
      <c r="P38" s="83"/>
      <c r="Q38" s="83"/>
      <c r="R38" s="83"/>
      <c r="S38" s="83"/>
      <c r="T38" s="83"/>
      <c r="U38" s="83"/>
      <c r="V38" s="83"/>
      <c r="W38" s="83"/>
      <c r="X38" s="83"/>
      <c r="Y38" s="83"/>
      <c r="Z38" s="83"/>
      <c r="AA38" s="83"/>
      <c r="AB38" s="83"/>
      <c r="AC38" s="83"/>
      <c r="AD38" s="83"/>
      <c r="AE38" s="83"/>
      <c r="AF38" s="83"/>
      <c r="AG38" s="83"/>
      <c r="AH38" s="83"/>
      <c r="AI38" s="83"/>
      <c r="AJ38" s="83"/>
      <c r="AK38" s="83"/>
      <c r="AL38" s="83"/>
      <c r="AM38" s="83"/>
      <c r="AN38" s="83"/>
      <c r="AO38" s="83"/>
      <c r="AP38" s="83"/>
      <c r="AQ38" s="83"/>
      <c r="AR38" s="83"/>
      <c r="AS38" s="83"/>
    </row>
    <row r="39" spans="1:46" ht="15" customHeight="1" x14ac:dyDescent="0.3">
      <c r="A39" s="80"/>
      <c r="B39" s="80"/>
      <c r="C39" s="80"/>
      <c r="D39" s="83"/>
      <c r="E39" s="88"/>
      <c r="F39" s="84"/>
      <c r="G39" s="84"/>
      <c r="H39" s="84"/>
      <c r="I39" s="84"/>
      <c r="J39" s="84"/>
      <c r="K39" s="84"/>
      <c r="L39" s="84"/>
      <c r="M39" s="84"/>
      <c r="N39" s="84"/>
      <c r="O39" s="84"/>
      <c r="P39" s="83"/>
      <c r="Q39" s="83"/>
      <c r="R39" s="83"/>
      <c r="S39" s="83"/>
      <c r="T39" s="83"/>
      <c r="U39" s="83"/>
      <c r="V39" s="83"/>
      <c r="W39" s="83"/>
      <c r="X39" s="83"/>
      <c r="Y39" s="83"/>
      <c r="Z39" s="83"/>
      <c r="AA39" s="83"/>
      <c r="AB39" s="83"/>
      <c r="AC39" s="83"/>
      <c r="AD39" s="83"/>
      <c r="AE39" s="83"/>
      <c r="AF39" s="83"/>
      <c r="AG39" s="83"/>
      <c r="AH39" s="83"/>
      <c r="AI39" s="83"/>
      <c r="AJ39" s="83"/>
      <c r="AK39" s="83"/>
      <c r="AL39" s="83"/>
      <c r="AM39" s="83"/>
      <c r="AN39" s="83"/>
      <c r="AO39" s="83"/>
      <c r="AP39" s="83"/>
      <c r="AQ39" s="83"/>
      <c r="AR39" s="83"/>
      <c r="AS39" s="83"/>
    </row>
    <row r="40" spans="1:46" ht="28.65" customHeight="1" x14ac:dyDescent="0.3">
      <c r="A40" s="80"/>
      <c r="B40" s="80"/>
      <c r="C40" s="80"/>
      <c r="D40" s="83"/>
      <c r="E40" s="88"/>
      <c r="F40" s="99" t="s">
        <v>47</v>
      </c>
      <c r="G40" s="99" t="s">
        <v>47</v>
      </c>
      <c r="H40" s="99" t="s">
        <v>49</v>
      </c>
      <c r="I40" s="84"/>
      <c r="J40" s="84"/>
      <c r="K40" s="84"/>
      <c r="L40" s="84"/>
      <c r="M40" s="84"/>
      <c r="N40" s="84"/>
      <c r="O40" s="84"/>
      <c r="P40" s="83"/>
      <c r="Q40" s="83"/>
      <c r="R40" s="83"/>
      <c r="S40" s="83"/>
      <c r="T40" s="83"/>
      <c r="U40" s="83"/>
      <c r="V40" s="83"/>
      <c r="W40" s="83"/>
      <c r="X40" s="83"/>
      <c r="Y40" s="83"/>
      <c r="Z40" s="83"/>
      <c r="AA40" s="83"/>
      <c r="AB40" s="83"/>
      <c r="AC40" s="83"/>
      <c r="AD40" s="83"/>
      <c r="AE40" s="83"/>
      <c r="AF40" s="83"/>
      <c r="AG40" s="83"/>
      <c r="AH40" s="83"/>
      <c r="AI40" s="83"/>
      <c r="AJ40" s="83"/>
      <c r="AK40" s="83"/>
      <c r="AL40" s="83"/>
      <c r="AM40" s="83"/>
      <c r="AN40" s="83"/>
      <c r="AO40" s="83"/>
      <c r="AP40" s="83"/>
      <c r="AQ40" s="83"/>
      <c r="AR40" s="83"/>
      <c r="AS40" s="83"/>
    </row>
    <row r="41" spans="1:46" ht="15" customHeight="1" x14ac:dyDescent="0.3">
      <c r="A41" s="80"/>
      <c r="B41" s="80"/>
      <c r="C41" s="80"/>
      <c r="D41" s="83"/>
      <c r="E41" s="97" t="s">
        <v>50</v>
      </c>
      <c r="F41" s="142"/>
      <c r="G41" s="142"/>
      <c r="H41" s="142"/>
      <c r="I41" s="84"/>
      <c r="J41" s="84"/>
      <c r="K41" s="84"/>
      <c r="L41" s="84"/>
      <c r="M41" s="84"/>
      <c r="N41" s="84"/>
      <c r="O41" s="84"/>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row>
    <row r="42" spans="1:46" ht="15" customHeight="1" x14ac:dyDescent="0.3">
      <c r="A42" s="80"/>
      <c r="B42" s="80"/>
      <c r="C42" s="80"/>
      <c r="D42" s="83"/>
      <c r="E42" s="97" t="s">
        <v>199</v>
      </c>
      <c r="F42" s="129"/>
      <c r="G42" s="129"/>
      <c r="H42" s="129"/>
      <c r="I42" s="84"/>
      <c r="J42" s="84"/>
      <c r="K42" s="84"/>
      <c r="L42" s="84"/>
      <c r="M42" s="84"/>
      <c r="N42" s="84"/>
      <c r="O42" s="84"/>
      <c r="P42" s="83"/>
      <c r="Q42" s="83"/>
      <c r="R42" s="83"/>
      <c r="S42" s="83"/>
      <c r="T42" s="83"/>
      <c r="U42" s="83"/>
      <c r="V42" s="83"/>
      <c r="W42" s="83"/>
      <c r="X42" s="83"/>
      <c r="Y42" s="83"/>
      <c r="Z42" s="83"/>
      <c r="AA42" s="83"/>
      <c r="AB42" s="83"/>
      <c r="AC42" s="83"/>
      <c r="AD42" s="83"/>
      <c r="AE42" s="83"/>
      <c r="AF42" s="83"/>
      <c r="AG42" s="83"/>
      <c r="AH42" s="83"/>
      <c r="AI42" s="83"/>
      <c r="AJ42" s="83"/>
      <c r="AK42" s="83"/>
      <c r="AL42" s="83"/>
      <c r="AM42" s="83"/>
      <c r="AN42" s="83"/>
      <c r="AO42" s="83"/>
      <c r="AP42" s="83"/>
      <c r="AQ42" s="83"/>
      <c r="AR42" s="83"/>
      <c r="AS42" s="83"/>
    </row>
    <row r="43" spans="1:46" ht="15" customHeight="1" x14ac:dyDescent="0.3">
      <c r="A43" s="80"/>
      <c r="B43" s="80"/>
      <c r="C43" s="80"/>
      <c r="D43" s="83"/>
      <c r="E43" s="84"/>
      <c r="F43" s="84"/>
      <c r="G43" s="84"/>
      <c r="H43" s="84"/>
      <c r="I43" s="84"/>
      <c r="J43" s="84"/>
      <c r="K43" s="84"/>
      <c r="L43" s="84"/>
      <c r="M43" s="84"/>
      <c r="N43" s="84"/>
      <c r="O43" s="84"/>
      <c r="P43" s="83"/>
      <c r="Q43" s="83"/>
      <c r="R43" s="83"/>
      <c r="S43" s="83"/>
      <c r="T43" s="83"/>
      <c r="U43" s="83"/>
      <c r="V43" s="83"/>
      <c r="W43" s="83"/>
      <c r="X43" s="83"/>
      <c r="Y43" s="83"/>
      <c r="Z43" s="83"/>
      <c r="AA43" s="83"/>
      <c r="AB43" s="83"/>
      <c r="AC43" s="83"/>
      <c r="AD43" s="83"/>
      <c r="AE43" s="83"/>
      <c r="AF43" s="83"/>
      <c r="AG43" s="83"/>
      <c r="AH43" s="83"/>
      <c r="AI43" s="83"/>
      <c r="AJ43" s="83"/>
      <c r="AK43" s="83"/>
      <c r="AL43" s="83"/>
      <c r="AM43" s="83"/>
      <c r="AN43" s="83"/>
      <c r="AO43" s="83"/>
      <c r="AP43" s="83"/>
      <c r="AQ43" s="83"/>
      <c r="AR43" s="83"/>
      <c r="AS43" s="83"/>
    </row>
    <row r="44" spans="1:46" ht="30" customHeight="1" x14ac:dyDescent="0.3">
      <c r="A44" s="80"/>
      <c r="B44" s="80"/>
      <c r="C44" s="80"/>
      <c r="D44" s="83"/>
      <c r="E44" s="138" t="s">
        <v>52</v>
      </c>
      <c r="F44" s="139">
        <v>14</v>
      </c>
      <c r="G44" s="84"/>
      <c r="H44" s="84"/>
      <c r="I44" s="84"/>
      <c r="J44" s="84"/>
      <c r="K44" s="84"/>
      <c r="L44" s="84"/>
      <c r="M44" s="84"/>
      <c r="N44" s="84"/>
      <c r="O44" s="84"/>
      <c r="P44" s="83"/>
      <c r="Q44" s="83"/>
      <c r="R44" s="83"/>
      <c r="S44" s="83"/>
      <c r="T44" s="83"/>
      <c r="U44" s="83"/>
      <c r="V44" s="83"/>
      <c r="W44" s="83"/>
      <c r="X44" s="83"/>
      <c r="Y44" s="83"/>
      <c r="Z44" s="83"/>
      <c r="AA44" s="83"/>
      <c r="AB44" s="83"/>
      <c r="AC44" s="83"/>
      <c r="AD44" s="83"/>
      <c r="AE44" s="83"/>
      <c r="AF44" s="83"/>
      <c r="AG44" s="83"/>
      <c r="AH44" s="83"/>
      <c r="AI44" s="83"/>
      <c r="AJ44" s="83"/>
      <c r="AK44" s="83"/>
      <c r="AL44" s="83"/>
      <c r="AM44" s="83"/>
      <c r="AN44" s="83"/>
      <c r="AO44" s="83"/>
      <c r="AP44" s="83"/>
      <c r="AQ44" s="83"/>
      <c r="AR44" s="83"/>
      <c r="AS44" s="83"/>
    </row>
    <row r="45" spans="1:46" ht="15" customHeight="1" x14ac:dyDescent="0.3">
      <c r="A45" s="80"/>
      <c r="B45" s="80"/>
      <c r="C45" s="80"/>
      <c r="D45" s="83"/>
      <c r="F45" s="84"/>
      <c r="G45" s="84"/>
      <c r="H45" s="84"/>
      <c r="I45" s="84"/>
      <c r="J45" s="84"/>
      <c r="K45" s="84"/>
      <c r="L45" s="84"/>
      <c r="M45" s="84"/>
      <c r="N45" s="84"/>
      <c r="O45" s="84"/>
      <c r="P45" s="83"/>
      <c r="Q45" s="83"/>
      <c r="R45" s="83"/>
      <c r="S45" s="83"/>
      <c r="T45" s="83"/>
      <c r="U45" s="83"/>
      <c r="V45" s="83"/>
      <c r="W45" s="83"/>
      <c r="X45" s="83"/>
      <c r="Y45" s="83"/>
      <c r="Z45" s="83"/>
      <c r="AA45" s="83"/>
      <c r="AB45" s="83"/>
      <c r="AC45" s="83"/>
      <c r="AD45" s="83"/>
      <c r="AE45" s="83"/>
      <c r="AF45" s="83"/>
      <c r="AG45" s="83"/>
      <c r="AH45" s="83"/>
      <c r="AI45" s="83"/>
      <c r="AJ45" s="83"/>
      <c r="AK45" s="83"/>
      <c r="AL45" s="83"/>
      <c r="AM45" s="83"/>
      <c r="AN45" s="83"/>
      <c r="AO45" s="83"/>
      <c r="AP45" s="83"/>
      <c r="AQ45" s="83"/>
      <c r="AR45" s="83"/>
      <c r="AS45" s="83"/>
    </row>
    <row r="46" spans="1:46" ht="48" customHeight="1" x14ac:dyDescent="0.3">
      <c r="A46" s="80"/>
      <c r="B46" s="80"/>
      <c r="C46" s="80"/>
      <c r="D46" s="83"/>
      <c r="E46" s="97" t="s">
        <v>53</v>
      </c>
      <c r="F46" s="98" t="s">
        <v>54</v>
      </c>
      <c r="G46" s="99" t="s">
        <v>55</v>
      </c>
      <c r="H46" s="98" t="s">
        <v>56</v>
      </c>
      <c r="I46" s="99" t="s">
        <v>57</v>
      </c>
      <c r="J46" s="98" t="s">
        <v>58</v>
      </c>
      <c r="K46" s="98" t="s">
        <v>59</v>
      </c>
      <c r="L46" s="98" t="s">
        <v>60</v>
      </c>
      <c r="M46" s="98" t="s">
        <v>61</v>
      </c>
      <c r="N46" s="98" t="s">
        <v>62</v>
      </c>
      <c r="O46" s="84"/>
      <c r="P46" s="84"/>
      <c r="Q46" s="83"/>
      <c r="R46" s="83"/>
      <c r="S46" s="83"/>
      <c r="T46" s="83"/>
      <c r="U46" s="83"/>
      <c r="V46" s="83"/>
      <c r="W46" s="83"/>
      <c r="X46" s="83"/>
      <c r="Y46" s="83"/>
      <c r="Z46" s="83"/>
      <c r="AA46" s="83"/>
      <c r="AB46" s="83"/>
      <c r="AC46" s="83"/>
      <c r="AD46" s="83"/>
      <c r="AE46" s="83"/>
      <c r="AF46" s="83"/>
      <c r="AG46" s="83"/>
      <c r="AH46" s="83"/>
      <c r="AI46" s="83"/>
      <c r="AJ46" s="83"/>
      <c r="AK46" s="83"/>
      <c r="AL46" s="83"/>
      <c r="AM46" s="83"/>
      <c r="AN46" s="83"/>
      <c r="AO46" s="83"/>
      <c r="AP46" s="83"/>
      <c r="AQ46" s="83"/>
      <c r="AR46" s="83"/>
      <c r="AS46" s="83"/>
      <c r="AT46" s="83"/>
    </row>
    <row r="47" spans="1:46" x14ac:dyDescent="0.3">
      <c r="A47" s="80"/>
      <c r="B47" s="80"/>
      <c r="C47" s="80"/>
      <c r="D47" s="83"/>
      <c r="E47" s="83" t="s">
        <v>63</v>
      </c>
      <c r="F47" s="73">
        <v>1000</v>
      </c>
      <c r="G47" s="73">
        <v>2</v>
      </c>
      <c r="H47" s="74">
        <v>1.8780999999999999E-2</v>
      </c>
      <c r="I47" s="75"/>
      <c r="J47" s="73">
        <v>12</v>
      </c>
      <c r="K47" s="128"/>
      <c r="L47" s="129"/>
      <c r="M47" s="129"/>
      <c r="N47" s="129"/>
      <c r="O47" s="87"/>
      <c r="P47" s="87"/>
      <c r="Q47" s="83"/>
      <c r="R47" s="83"/>
      <c r="S47" s="83"/>
      <c r="T47" s="83"/>
      <c r="U47" s="83"/>
      <c r="V47" s="83"/>
      <c r="W47" s="83"/>
      <c r="X47" s="83"/>
      <c r="Y47" s="83"/>
      <c r="Z47" s="83"/>
      <c r="AA47" s="83"/>
      <c r="AB47" s="83"/>
      <c r="AC47" s="83"/>
      <c r="AD47" s="83"/>
      <c r="AE47" s="83"/>
      <c r="AF47" s="83"/>
      <c r="AG47" s="83"/>
      <c r="AH47" s="83"/>
      <c r="AI47" s="83"/>
      <c r="AJ47" s="83"/>
      <c r="AK47" s="83"/>
      <c r="AL47" s="83"/>
      <c r="AM47" s="83"/>
      <c r="AN47" s="83"/>
      <c r="AO47" s="83"/>
      <c r="AP47" s="83"/>
      <c r="AQ47" s="83"/>
      <c r="AR47" s="83"/>
      <c r="AS47" s="83"/>
      <c r="AT47" s="83"/>
    </row>
    <row r="48" spans="1:46" x14ac:dyDescent="0.3">
      <c r="A48" s="80"/>
      <c r="B48" s="80"/>
      <c r="C48" s="80"/>
      <c r="D48" s="83"/>
      <c r="E48" s="83" t="s">
        <v>64</v>
      </c>
      <c r="F48" s="73">
        <v>600</v>
      </c>
      <c r="G48" s="73">
        <v>2</v>
      </c>
      <c r="H48" s="74">
        <f>88.74/600</f>
        <v>0.1479</v>
      </c>
      <c r="I48" s="75"/>
      <c r="J48" s="73">
        <v>12</v>
      </c>
      <c r="K48" s="128"/>
      <c r="L48" s="129"/>
      <c r="M48" s="129"/>
      <c r="N48" s="129"/>
      <c r="O48" s="87"/>
      <c r="P48" s="87"/>
      <c r="Q48" s="83"/>
      <c r="R48" s="83"/>
      <c r="S48" s="83"/>
      <c r="T48" s="83"/>
      <c r="U48" s="83"/>
      <c r="V48" s="83"/>
      <c r="W48" s="83"/>
      <c r="X48" s="83"/>
      <c r="Y48" s="83"/>
      <c r="Z48" s="83"/>
      <c r="AA48" s="83"/>
      <c r="AB48" s="83"/>
      <c r="AC48" s="83"/>
      <c r="AD48" s="83"/>
      <c r="AE48" s="83"/>
      <c r="AF48" s="83"/>
      <c r="AG48" s="83"/>
      <c r="AH48" s="83"/>
      <c r="AI48" s="83"/>
      <c r="AJ48" s="83"/>
      <c r="AK48" s="83"/>
      <c r="AL48" s="83"/>
      <c r="AM48" s="83"/>
      <c r="AN48" s="83"/>
      <c r="AO48" s="83"/>
      <c r="AP48" s="83"/>
      <c r="AQ48" s="83"/>
      <c r="AR48" s="83"/>
      <c r="AS48" s="83"/>
      <c r="AT48" s="83"/>
    </row>
    <row r="49" spans="1:46" x14ac:dyDescent="0.3">
      <c r="A49" s="80"/>
      <c r="B49" s="80"/>
      <c r="C49" s="80"/>
      <c r="D49" s="83"/>
      <c r="E49" s="83" t="s">
        <v>65</v>
      </c>
      <c r="F49" s="73">
        <v>1000</v>
      </c>
      <c r="G49" s="73">
        <f>24/8</f>
        <v>3</v>
      </c>
      <c r="H49" s="74">
        <f>6/1000</f>
        <v>6.0000000000000001E-3</v>
      </c>
      <c r="I49" s="75"/>
      <c r="J49" s="73">
        <v>12</v>
      </c>
      <c r="K49" s="128"/>
      <c r="L49" s="129"/>
      <c r="M49" s="129"/>
      <c r="N49" s="129"/>
      <c r="O49" s="87"/>
      <c r="P49" s="87"/>
      <c r="Q49" s="83"/>
      <c r="R49" s="83"/>
      <c r="S49" s="83"/>
      <c r="T49" s="83"/>
      <c r="U49" s="83"/>
      <c r="V49" s="83"/>
      <c r="W49" s="83"/>
      <c r="X49" s="83"/>
      <c r="Y49" s="83"/>
      <c r="Z49" s="83"/>
      <c r="AA49" s="83"/>
      <c r="AB49" s="83"/>
      <c r="AC49" s="83"/>
      <c r="AD49" s="83"/>
      <c r="AE49" s="83"/>
      <c r="AF49" s="83"/>
      <c r="AG49" s="83"/>
      <c r="AH49" s="83"/>
      <c r="AI49" s="83"/>
      <c r="AJ49" s="83"/>
      <c r="AK49" s="83"/>
      <c r="AL49" s="83"/>
      <c r="AM49" s="83"/>
      <c r="AN49" s="83"/>
      <c r="AO49" s="83"/>
      <c r="AP49" s="83"/>
      <c r="AQ49" s="83"/>
      <c r="AR49" s="83"/>
      <c r="AS49" s="83"/>
      <c r="AT49" s="83"/>
    </row>
    <row r="50" spans="1:46" x14ac:dyDescent="0.3">
      <c r="A50" s="80"/>
      <c r="B50" s="80"/>
      <c r="C50" s="80"/>
      <c r="D50" s="83"/>
      <c r="E50" s="83" t="s">
        <v>66</v>
      </c>
      <c r="F50" s="73">
        <v>2000</v>
      </c>
      <c r="G50" s="73">
        <v>1</v>
      </c>
      <c r="H50" s="74">
        <f>12.49/1000</f>
        <v>1.2489999999999999E-2</v>
      </c>
      <c r="I50" s="75"/>
      <c r="J50" s="73">
        <v>12</v>
      </c>
      <c r="K50" s="128"/>
      <c r="L50" s="129"/>
      <c r="M50" s="129"/>
      <c r="N50" s="129"/>
      <c r="O50" s="87"/>
      <c r="P50" s="87"/>
      <c r="Q50" s="83"/>
      <c r="R50" s="83"/>
      <c r="S50" s="83"/>
      <c r="T50" s="83"/>
      <c r="U50" s="83"/>
      <c r="V50" s="83"/>
      <c r="W50" s="83"/>
      <c r="X50" s="83"/>
      <c r="Y50" s="83"/>
      <c r="Z50" s="83"/>
      <c r="AA50" s="83"/>
      <c r="AB50" s="83"/>
      <c r="AC50" s="83"/>
      <c r="AD50" s="83"/>
      <c r="AE50" s="83"/>
      <c r="AF50" s="83"/>
      <c r="AG50" s="83"/>
      <c r="AH50" s="83"/>
      <c r="AI50" s="83"/>
      <c r="AJ50" s="83"/>
      <c r="AK50" s="83"/>
      <c r="AL50" s="83"/>
      <c r="AM50" s="83"/>
      <c r="AN50" s="83"/>
      <c r="AO50" s="83"/>
      <c r="AP50" s="83"/>
      <c r="AQ50" s="83"/>
      <c r="AR50" s="83"/>
      <c r="AS50" s="83"/>
      <c r="AT50" s="83"/>
    </row>
    <row r="51" spans="1:46" x14ac:dyDescent="0.3">
      <c r="A51" s="80"/>
      <c r="B51" s="80"/>
      <c r="C51" s="80"/>
      <c r="D51" s="83"/>
      <c r="E51" s="83" t="s">
        <v>285</v>
      </c>
      <c r="F51" s="73">
        <v>0</v>
      </c>
      <c r="G51" s="73">
        <v>0</v>
      </c>
      <c r="H51" s="74">
        <v>0</v>
      </c>
      <c r="I51" s="75"/>
      <c r="J51" s="73">
        <v>12</v>
      </c>
      <c r="K51" s="128"/>
      <c r="L51" s="129"/>
      <c r="M51" s="129"/>
      <c r="N51" s="129"/>
      <c r="O51" s="87"/>
      <c r="P51" s="87"/>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row>
    <row r="52" spans="1:46" ht="52.35" customHeight="1" x14ac:dyDescent="0.3">
      <c r="A52" s="80"/>
      <c r="B52" s="80"/>
      <c r="C52" s="80"/>
      <c r="D52" s="83"/>
      <c r="E52" s="87"/>
      <c r="F52" s="99" t="s">
        <v>67</v>
      </c>
      <c r="G52" s="99" t="s">
        <v>68</v>
      </c>
      <c r="H52" s="98" t="s">
        <v>56</v>
      </c>
      <c r="I52" s="99" t="s">
        <v>57</v>
      </c>
      <c r="J52" s="98" t="s">
        <v>58</v>
      </c>
      <c r="K52" s="98" t="s">
        <v>59</v>
      </c>
      <c r="L52" s="98" t="s">
        <v>69</v>
      </c>
      <c r="M52" s="98" t="s">
        <v>70</v>
      </c>
      <c r="N52" s="98" t="s">
        <v>62</v>
      </c>
      <c r="O52" s="87"/>
      <c r="P52" s="87"/>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row>
    <row r="53" spans="1:46" x14ac:dyDescent="0.3">
      <c r="A53" s="80"/>
      <c r="B53" s="80"/>
      <c r="C53" s="80"/>
      <c r="D53" s="83"/>
      <c r="E53" s="83" t="s">
        <v>71</v>
      </c>
      <c r="F53" s="73">
        <v>76</v>
      </c>
      <c r="G53" s="73">
        <v>6</v>
      </c>
      <c r="H53" s="74">
        <v>0.32469999999999999</v>
      </c>
      <c r="I53" s="75"/>
      <c r="J53" s="73">
        <v>12</v>
      </c>
      <c r="K53" s="128"/>
      <c r="L53" s="129"/>
      <c r="M53" s="129"/>
      <c r="N53" s="129"/>
      <c r="O53" s="87"/>
      <c r="P53" s="87"/>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row>
    <row r="54" spans="1:46" x14ac:dyDescent="0.3">
      <c r="A54" s="80"/>
      <c r="B54" s="80"/>
      <c r="C54" s="80"/>
      <c r="D54" s="83"/>
      <c r="E54" s="117"/>
      <c r="F54" s="87"/>
      <c r="G54" s="87"/>
      <c r="H54" s="87"/>
      <c r="I54" s="87"/>
      <c r="J54" s="87"/>
      <c r="K54" s="87"/>
      <c r="L54" s="87"/>
      <c r="M54" s="87"/>
      <c r="N54" s="87"/>
      <c r="O54" s="87"/>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row>
    <row r="55" spans="1:46" x14ac:dyDescent="0.3">
      <c r="A55" s="80"/>
      <c r="B55" s="80"/>
      <c r="C55" s="80"/>
      <c r="D55" s="83"/>
      <c r="E55" s="100"/>
      <c r="F55" s="87"/>
      <c r="G55" s="87"/>
      <c r="H55" s="87"/>
      <c r="I55" s="87"/>
      <c r="J55" s="87"/>
      <c r="K55" s="87"/>
      <c r="L55" s="87"/>
      <c r="M55" s="87"/>
      <c r="N55" s="87"/>
      <c r="O55" s="87"/>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row>
    <row r="56" spans="1:46" x14ac:dyDescent="0.3">
      <c r="A56" s="80"/>
      <c r="B56" s="80"/>
      <c r="C56" s="80"/>
      <c r="D56" s="83"/>
      <c r="E56" s="101" t="s">
        <v>72</v>
      </c>
      <c r="F56" s="99" t="s">
        <v>57</v>
      </c>
      <c r="G56" s="102" t="s">
        <v>73</v>
      </c>
      <c r="H56" s="87"/>
      <c r="I56" s="87"/>
      <c r="J56" s="87"/>
      <c r="K56" s="87"/>
      <c r="L56" s="87"/>
      <c r="M56" s="87"/>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row>
    <row r="57" spans="1:46" x14ac:dyDescent="0.3">
      <c r="A57" s="80"/>
      <c r="B57" s="80"/>
      <c r="C57" s="80"/>
      <c r="D57" s="83"/>
      <c r="E57" s="87" t="s">
        <v>74</v>
      </c>
      <c r="F57" s="76">
        <f>List!F106</f>
        <v>4.3174303999999992</v>
      </c>
      <c r="G57" s="103" t="s">
        <v>75</v>
      </c>
      <c r="H57" s="87"/>
      <c r="I57" s="87"/>
      <c r="J57" s="87"/>
      <c r="K57" s="87"/>
      <c r="L57" s="87"/>
      <c r="M57" s="87"/>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row>
    <row r="58" spans="1:46" x14ac:dyDescent="0.3">
      <c r="A58" s="80"/>
      <c r="B58" s="80"/>
      <c r="C58" s="80"/>
      <c r="D58" s="83"/>
      <c r="E58" s="117"/>
      <c r="F58" s="104"/>
      <c r="G58" s="105"/>
      <c r="H58" s="106"/>
      <c r="I58" s="107"/>
      <c r="J58" s="103"/>
      <c r="K58" s="87"/>
      <c r="L58" s="87"/>
      <c r="M58" s="87"/>
      <c r="N58" s="87"/>
      <c r="O58" s="87"/>
      <c r="P58" s="87"/>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row>
    <row r="59" spans="1:46" x14ac:dyDescent="0.3">
      <c r="A59" s="80"/>
      <c r="B59" s="80"/>
      <c r="C59" s="80"/>
      <c r="D59" s="83"/>
      <c r="E59" s="87"/>
      <c r="F59" s="104"/>
      <c r="G59" s="105"/>
      <c r="H59" s="106"/>
      <c r="I59" s="107"/>
      <c r="J59" s="103"/>
      <c r="K59" s="87"/>
      <c r="L59" s="87"/>
      <c r="M59" s="87"/>
      <c r="N59" s="87"/>
      <c r="O59" s="87"/>
      <c r="P59" s="87"/>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row>
    <row r="60" spans="1:46" ht="59.4" x14ac:dyDescent="0.3">
      <c r="A60" s="80"/>
      <c r="B60" s="80"/>
      <c r="C60" s="80"/>
      <c r="D60" s="83"/>
      <c r="E60" s="140" t="s">
        <v>76</v>
      </c>
      <c r="F60" s="98" t="s">
        <v>77</v>
      </c>
      <c r="G60" s="98" t="s">
        <v>78</v>
      </c>
      <c r="H60" s="98" t="s">
        <v>79</v>
      </c>
      <c r="I60" s="98" t="s">
        <v>80</v>
      </c>
      <c r="J60" s="98" t="s">
        <v>62</v>
      </c>
      <c r="K60" s="87"/>
      <c r="L60" s="87"/>
      <c r="M60" s="87"/>
      <c r="N60" s="87"/>
      <c r="O60" s="87"/>
      <c r="P60" s="87"/>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row>
    <row r="61" spans="1:46" x14ac:dyDescent="0.3">
      <c r="A61" s="80"/>
      <c r="B61" s="80"/>
      <c r="C61" s="80"/>
      <c r="D61" s="83"/>
      <c r="E61" s="87" t="s">
        <v>81</v>
      </c>
      <c r="F61" s="130"/>
      <c r="G61" s="130"/>
      <c r="H61" s="131"/>
      <c r="I61" s="131"/>
      <c r="J61" s="131"/>
      <c r="K61" s="87"/>
      <c r="L61" s="87"/>
      <c r="M61" s="87"/>
      <c r="N61" s="87"/>
      <c r="O61" s="87"/>
      <c r="P61" s="87"/>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row>
    <row r="62" spans="1:46" x14ac:dyDescent="0.3">
      <c r="A62" s="80"/>
      <c r="B62" s="80"/>
      <c r="C62" s="80"/>
      <c r="D62" s="83"/>
      <c r="E62" s="87" t="s">
        <v>82</v>
      </c>
      <c r="F62" s="130"/>
      <c r="G62" s="130"/>
      <c r="H62" s="131"/>
      <c r="I62" s="131"/>
      <c r="J62" s="131"/>
      <c r="K62" s="87"/>
      <c r="L62" s="87"/>
      <c r="M62" s="87"/>
      <c r="N62" s="87"/>
      <c r="O62" s="87"/>
      <c r="P62" s="87"/>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row>
    <row r="63" spans="1:46" x14ac:dyDescent="0.3">
      <c r="A63" s="80"/>
      <c r="B63" s="80"/>
      <c r="C63" s="80"/>
      <c r="D63" s="83"/>
      <c r="E63" s="87" t="s">
        <v>83</v>
      </c>
      <c r="F63" s="130"/>
      <c r="G63" s="130"/>
      <c r="H63" s="131"/>
      <c r="I63" s="131"/>
      <c r="J63" s="131"/>
      <c r="K63" s="87"/>
      <c r="L63" s="87"/>
      <c r="M63" s="87"/>
      <c r="N63" s="87"/>
      <c r="O63" s="87"/>
      <c r="P63" s="87"/>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row>
    <row r="64" spans="1:46" x14ac:dyDescent="0.3">
      <c r="A64" s="80"/>
      <c r="B64" s="80"/>
      <c r="C64" s="80"/>
      <c r="D64" s="83"/>
      <c r="E64" s="87" t="s">
        <v>84</v>
      </c>
      <c r="F64" s="130"/>
      <c r="G64" s="130"/>
      <c r="H64" s="131"/>
      <c r="I64" s="131"/>
      <c r="J64" s="131"/>
      <c r="K64" s="87"/>
      <c r="L64" s="87"/>
      <c r="M64" s="87"/>
      <c r="N64" s="87"/>
      <c r="O64" s="87"/>
      <c r="P64" s="87"/>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row>
    <row r="65" spans="1:46" x14ac:dyDescent="0.3">
      <c r="A65" s="80"/>
      <c r="B65" s="80"/>
      <c r="C65" s="80"/>
      <c r="D65" s="83"/>
      <c r="E65" s="87" t="s">
        <v>287</v>
      </c>
      <c r="F65" s="130"/>
      <c r="G65" s="130"/>
      <c r="H65" s="131"/>
      <c r="I65" s="131"/>
      <c r="J65" s="131"/>
      <c r="K65" s="87"/>
      <c r="L65" s="87"/>
      <c r="M65" s="87"/>
      <c r="N65" s="87"/>
      <c r="O65" s="87"/>
      <c r="P65" s="87"/>
      <c r="Q65" s="83"/>
      <c r="R65" s="83"/>
      <c r="S65" s="83"/>
      <c r="T65" s="83"/>
      <c r="U65" s="83"/>
      <c r="V65" s="83"/>
      <c r="W65" s="83"/>
      <c r="X65" s="83"/>
      <c r="Y65" s="83"/>
      <c r="Z65" s="83"/>
      <c r="AA65" s="83"/>
      <c r="AB65" s="83"/>
      <c r="AC65" s="83"/>
      <c r="AD65" s="83"/>
      <c r="AE65" s="83"/>
      <c r="AF65" s="83"/>
      <c r="AG65" s="83"/>
      <c r="AH65" s="83"/>
      <c r="AI65" s="83"/>
      <c r="AJ65" s="83"/>
      <c r="AK65" s="83"/>
      <c r="AL65" s="83"/>
      <c r="AM65" s="83"/>
      <c r="AN65" s="83"/>
      <c r="AO65" s="83"/>
      <c r="AP65" s="83"/>
      <c r="AQ65" s="83"/>
      <c r="AR65" s="83"/>
      <c r="AS65" s="83"/>
      <c r="AT65" s="83"/>
    </row>
    <row r="66" spans="1:46" x14ac:dyDescent="0.3">
      <c r="A66" s="80"/>
      <c r="B66" s="80"/>
      <c r="C66" s="80"/>
      <c r="D66" s="83"/>
      <c r="E66" s="87" t="s">
        <v>85</v>
      </c>
      <c r="F66" s="130"/>
      <c r="G66" s="130"/>
      <c r="H66" s="131"/>
      <c r="I66" s="131"/>
      <c r="J66" s="131"/>
      <c r="K66" s="87"/>
      <c r="L66" s="87"/>
      <c r="M66" s="87"/>
      <c r="N66" s="87"/>
      <c r="O66" s="87"/>
      <c r="P66" s="87"/>
      <c r="Q66" s="83"/>
      <c r="R66" s="83"/>
      <c r="S66" s="83"/>
      <c r="T66" s="83"/>
      <c r="U66" s="83"/>
      <c r="V66" s="83"/>
      <c r="W66" s="83"/>
      <c r="X66" s="83"/>
      <c r="Y66" s="83"/>
      <c r="Z66" s="83"/>
      <c r="AA66" s="83"/>
      <c r="AB66" s="83"/>
      <c r="AC66" s="83"/>
      <c r="AD66" s="83"/>
      <c r="AE66" s="83"/>
      <c r="AF66" s="83"/>
      <c r="AG66" s="83"/>
      <c r="AH66" s="83"/>
      <c r="AI66" s="83"/>
      <c r="AJ66" s="83"/>
      <c r="AK66" s="83"/>
      <c r="AL66" s="83"/>
      <c r="AM66" s="83"/>
      <c r="AN66" s="83"/>
      <c r="AO66" s="83"/>
      <c r="AP66" s="83"/>
      <c r="AQ66" s="83"/>
      <c r="AR66" s="83"/>
      <c r="AS66" s="83"/>
      <c r="AT66" s="83"/>
    </row>
    <row r="67" spans="1:46" x14ac:dyDescent="0.3">
      <c r="A67" s="80"/>
      <c r="B67" s="80"/>
      <c r="C67" s="80"/>
      <c r="D67" s="83"/>
      <c r="E67" s="87"/>
      <c r="F67" s="104"/>
      <c r="G67" s="105"/>
      <c r="H67" s="106"/>
      <c r="I67" s="107"/>
      <c r="J67" s="103"/>
      <c r="K67" s="87"/>
      <c r="L67" s="87"/>
      <c r="M67" s="87"/>
      <c r="N67" s="87"/>
      <c r="O67" s="87"/>
      <c r="P67" s="87"/>
      <c r="Q67" s="83"/>
      <c r="R67" s="83"/>
      <c r="S67" s="83"/>
      <c r="T67" s="83"/>
      <c r="U67" s="83"/>
      <c r="V67" s="83"/>
      <c r="W67" s="83"/>
      <c r="X67" s="83"/>
      <c r="Y67" s="83"/>
      <c r="Z67" s="83"/>
      <c r="AA67" s="83"/>
      <c r="AB67" s="83"/>
      <c r="AC67" s="83"/>
      <c r="AD67" s="83"/>
      <c r="AE67" s="83"/>
      <c r="AF67" s="83"/>
      <c r="AG67" s="83"/>
      <c r="AH67" s="83"/>
      <c r="AI67" s="83"/>
      <c r="AJ67" s="83"/>
      <c r="AK67" s="83"/>
      <c r="AL67" s="83"/>
      <c r="AM67" s="83"/>
      <c r="AN67" s="83"/>
      <c r="AO67" s="83"/>
      <c r="AP67" s="83"/>
      <c r="AQ67" s="83"/>
      <c r="AR67" s="83"/>
      <c r="AS67" s="83"/>
      <c r="AT67" s="83"/>
    </row>
    <row r="68" spans="1:46" x14ac:dyDescent="0.3">
      <c r="A68" s="80"/>
      <c r="B68" s="80"/>
      <c r="C68" s="80"/>
      <c r="D68" s="83"/>
      <c r="E68" s="96"/>
      <c r="F68" s="104"/>
      <c r="G68" s="105"/>
      <c r="H68" s="106"/>
      <c r="I68" s="107"/>
      <c r="J68" s="103"/>
      <c r="K68" s="87"/>
      <c r="L68" s="87"/>
      <c r="M68" s="87"/>
      <c r="N68" s="87"/>
      <c r="O68" s="87"/>
      <c r="P68" s="87"/>
      <c r="Q68" s="83"/>
      <c r="R68" s="83"/>
      <c r="S68" s="83"/>
      <c r="T68" s="83"/>
      <c r="U68" s="83"/>
      <c r="V68" s="83"/>
      <c r="W68" s="83"/>
      <c r="X68" s="83"/>
      <c r="Y68" s="83"/>
      <c r="Z68" s="83"/>
      <c r="AA68" s="83"/>
      <c r="AB68" s="83"/>
      <c r="AC68" s="83"/>
      <c r="AD68" s="83"/>
      <c r="AE68" s="83"/>
      <c r="AF68" s="83"/>
      <c r="AG68" s="83"/>
      <c r="AH68" s="83"/>
      <c r="AI68" s="83"/>
      <c r="AJ68" s="83"/>
      <c r="AK68" s="83"/>
      <c r="AL68" s="83"/>
      <c r="AM68" s="83"/>
      <c r="AN68" s="83"/>
      <c r="AO68" s="83"/>
      <c r="AP68" s="83"/>
      <c r="AQ68" s="83"/>
      <c r="AR68" s="83"/>
      <c r="AS68" s="83"/>
      <c r="AT68" s="83"/>
    </row>
    <row r="69" spans="1:46" x14ac:dyDescent="0.3">
      <c r="A69" s="80"/>
      <c r="B69" s="80"/>
      <c r="C69" s="80"/>
      <c r="D69" s="83"/>
      <c r="E69" s="96"/>
      <c r="F69" s="104"/>
      <c r="G69" s="105"/>
      <c r="H69" s="106"/>
      <c r="I69" s="107"/>
      <c r="J69" s="103"/>
      <c r="K69" s="87"/>
      <c r="L69" s="87"/>
      <c r="M69" s="87"/>
      <c r="N69" s="87"/>
      <c r="O69" s="87"/>
      <c r="P69" s="87"/>
      <c r="Q69" s="83"/>
      <c r="R69" s="83"/>
      <c r="S69" s="83"/>
      <c r="T69" s="83"/>
      <c r="U69" s="83"/>
      <c r="V69" s="83"/>
      <c r="W69" s="83"/>
      <c r="X69" s="83"/>
      <c r="Y69" s="83"/>
      <c r="Z69" s="83"/>
      <c r="AA69" s="83"/>
      <c r="AB69" s="83"/>
      <c r="AC69" s="83"/>
      <c r="AD69" s="83"/>
      <c r="AE69" s="83"/>
      <c r="AF69" s="83"/>
      <c r="AG69" s="83"/>
      <c r="AH69" s="83"/>
      <c r="AI69" s="83"/>
      <c r="AJ69" s="83"/>
      <c r="AK69" s="83"/>
      <c r="AL69" s="83"/>
      <c r="AM69" s="83"/>
      <c r="AN69" s="83"/>
      <c r="AO69" s="83"/>
      <c r="AP69" s="83"/>
      <c r="AQ69" s="83"/>
      <c r="AR69" s="83"/>
      <c r="AS69" s="83"/>
      <c r="AT69" s="83"/>
    </row>
    <row r="70" spans="1:46" x14ac:dyDescent="0.3">
      <c r="A70" s="80"/>
      <c r="B70" s="80"/>
      <c r="C70" s="80"/>
      <c r="D70" s="83"/>
      <c r="E70" s="96"/>
      <c r="F70" s="87"/>
      <c r="G70" s="87"/>
      <c r="H70" s="87"/>
      <c r="I70" s="87"/>
      <c r="J70" s="87"/>
      <c r="K70" s="87"/>
      <c r="L70" s="87"/>
      <c r="M70" s="87"/>
      <c r="N70" s="87"/>
      <c r="O70" s="87"/>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c r="AQ70" s="83"/>
      <c r="AR70" s="83"/>
      <c r="AS70" s="83"/>
    </row>
    <row r="71" spans="1:46" x14ac:dyDescent="0.3">
      <c r="A71" s="80"/>
      <c r="B71" s="80"/>
      <c r="C71" s="80"/>
      <c r="D71" s="83"/>
      <c r="E71" s="96"/>
      <c r="F71" s="87"/>
      <c r="G71" s="87"/>
      <c r="H71" s="87"/>
      <c r="I71" s="87"/>
      <c r="J71" s="87"/>
      <c r="K71" s="87"/>
      <c r="L71" s="87"/>
      <c r="M71" s="87"/>
      <c r="N71" s="87"/>
      <c r="O71" s="87"/>
      <c r="P71" s="83"/>
      <c r="Q71" s="83"/>
      <c r="R71" s="83"/>
      <c r="S71" s="83"/>
      <c r="T71" s="83"/>
      <c r="U71" s="83"/>
      <c r="V71" s="83"/>
      <c r="W71" s="83"/>
      <c r="X71" s="83"/>
      <c r="Y71" s="83"/>
      <c r="Z71" s="83"/>
      <c r="AA71" s="83"/>
      <c r="AB71" s="83"/>
      <c r="AC71" s="83"/>
      <c r="AD71" s="83"/>
      <c r="AE71" s="83"/>
      <c r="AF71" s="83"/>
      <c r="AG71" s="83"/>
      <c r="AH71" s="83"/>
      <c r="AI71" s="83"/>
      <c r="AJ71" s="83"/>
      <c r="AK71" s="83"/>
      <c r="AL71" s="83"/>
      <c r="AM71" s="83"/>
      <c r="AN71" s="83"/>
      <c r="AO71" s="83"/>
      <c r="AP71" s="83"/>
      <c r="AQ71" s="83"/>
      <c r="AR71" s="83"/>
      <c r="AS71" s="83"/>
    </row>
    <row r="72" spans="1:46" x14ac:dyDescent="0.3">
      <c r="A72" s="80"/>
      <c r="B72" s="80"/>
      <c r="C72" s="80"/>
      <c r="D72" s="83"/>
      <c r="E72" s="100"/>
      <c r="F72" s="87"/>
      <c r="G72" s="87"/>
      <c r="H72" s="87"/>
      <c r="I72" s="87"/>
      <c r="J72" s="87"/>
      <c r="K72" s="87"/>
      <c r="L72" s="87"/>
      <c r="M72" s="87"/>
      <c r="N72" s="87"/>
      <c r="O72" s="87"/>
      <c r="P72" s="83"/>
      <c r="Q72" s="83"/>
      <c r="R72" s="83"/>
      <c r="S72" s="83"/>
      <c r="T72" s="83"/>
      <c r="U72" s="83"/>
      <c r="V72" s="83"/>
      <c r="W72" s="83"/>
      <c r="X72" s="83"/>
      <c r="Y72" s="83"/>
      <c r="Z72" s="83"/>
      <c r="AA72" s="83"/>
      <c r="AB72" s="83"/>
      <c r="AC72" s="83"/>
      <c r="AD72" s="83"/>
      <c r="AE72" s="83"/>
      <c r="AF72" s="83"/>
      <c r="AG72" s="83"/>
      <c r="AH72" s="83"/>
      <c r="AI72" s="83"/>
      <c r="AJ72" s="83"/>
      <c r="AK72" s="83"/>
      <c r="AL72" s="83"/>
      <c r="AM72" s="83"/>
      <c r="AN72" s="83"/>
      <c r="AO72" s="83"/>
      <c r="AP72" s="83"/>
      <c r="AQ72" s="83"/>
      <c r="AR72" s="83"/>
      <c r="AS72" s="83"/>
    </row>
    <row r="73" spans="1:46" x14ac:dyDescent="0.3">
      <c r="A73" s="80"/>
      <c r="B73" s="80"/>
      <c r="C73" s="80"/>
      <c r="D73" s="83"/>
      <c r="E73" s="100"/>
      <c r="F73" s="87"/>
      <c r="G73" s="87"/>
      <c r="H73" s="87"/>
      <c r="I73" s="87"/>
      <c r="J73" s="87"/>
      <c r="K73" s="87"/>
      <c r="L73" s="87"/>
      <c r="M73" s="87"/>
      <c r="N73" s="87"/>
      <c r="O73" s="87"/>
      <c r="P73" s="83"/>
      <c r="Q73" s="83"/>
      <c r="R73" s="83"/>
      <c r="S73" s="83"/>
      <c r="T73" s="83"/>
      <c r="U73" s="83"/>
      <c r="V73" s="83"/>
      <c r="W73" s="83"/>
      <c r="X73" s="83"/>
      <c r="Y73" s="83"/>
      <c r="Z73" s="83"/>
      <c r="AA73" s="83"/>
      <c r="AB73" s="83"/>
      <c r="AC73" s="83"/>
      <c r="AD73" s="83"/>
      <c r="AE73" s="83"/>
      <c r="AF73" s="83"/>
      <c r="AG73" s="83"/>
      <c r="AH73" s="83"/>
      <c r="AI73" s="83"/>
      <c r="AJ73" s="83"/>
      <c r="AK73" s="83"/>
      <c r="AL73" s="83"/>
      <c r="AM73" s="83"/>
      <c r="AN73" s="83"/>
      <c r="AO73" s="83"/>
      <c r="AP73" s="83"/>
      <c r="AQ73" s="83"/>
      <c r="AR73" s="83"/>
      <c r="AS73" s="83"/>
    </row>
    <row r="74" spans="1:46" x14ac:dyDescent="0.3">
      <c r="A74" s="80"/>
      <c r="B74" s="80"/>
      <c r="C74" s="80"/>
      <c r="D74" s="83"/>
      <c r="E74" s="87"/>
      <c r="F74" s="87"/>
      <c r="G74" s="87"/>
      <c r="H74" s="87"/>
      <c r="I74" s="87"/>
      <c r="J74" s="87"/>
      <c r="K74" s="87"/>
      <c r="L74" s="87"/>
      <c r="M74" s="87"/>
      <c r="N74" s="87"/>
      <c r="O74" s="87"/>
      <c r="P74" s="83"/>
      <c r="Q74" s="83"/>
      <c r="R74" s="83"/>
      <c r="S74" s="83"/>
      <c r="T74" s="83"/>
      <c r="U74" s="83"/>
      <c r="V74" s="83"/>
      <c r="W74" s="83"/>
      <c r="X74" s="83"/>
      <c r="Y74" s="83"/>
      <c r="Z74" s="83"/>
      <c r="AA74" s="83"/>
      <c r="AB74" s="83"/>
      <c r="AC74" s="83"/>
      <c r="AD74" s="83"/>
      <c r="AE74" s="83"/>
      <c r="AF74" s="83"/>
      <c r="AG74" s="83"/>
      <c r="AH74" s="83"/>
      <c r="AI74" s="83"/>
      <c r="AJ74" s="83"/>
      <c r="AK74" s="83"/>
      <c r="AL74" s="83"/>
      <c r="AM74" s="83"/>
      <c r="AN74" s="83"/>
      <c r="AO74" s="83"/>
      <c r="AP74" s="83"/>
      <c r="AQ74" s="83"/>
      <c r="AR74" s="83"/>
      <c r="AS74" s="83"/>
    </row>
    <row r="75" spans="1:46" ht="18.600000000000001" thickBot="1" x14ac:dyDescent="0.4">
      <c r="A75" s="80"/>
      <c r="B75" s="80"/>
      <c r="C75" s="80"/>
      <c r="D75" s="83"/>
      <c r="E75" s="85" t="s">
        <v>90</v>
      </c>
      <c r="F75" s="86"/>
      <c r="G75" s="86"/>
      <c r="H75" s="86"/>
      <c r="I75" s="86"/>
      <c r="J75" s="86"/>
      <c r="K75" s="86"/>
      <c r="L75" s="86"/>
      <c r="M75" s="86"/>
      <c r="N75" s="86"/>
      <c r="O75" s="86"/>
      <c r="P75" s="86"/>
      <c r="Q75" s="86"/>
      <c r="R75" s="86"/>
      <c r="S75" s="86"/>
      <c r="T75" s="86"/>
      <c r="U75" s="86"/>
      <c r="V75" s="86"/>
      <c r="W75" s="86"/>
      <c r="X75" s="86"/>
      <c r="Y75" s="86"/>
      <c r="Z75" s="86"/>
      <c r="AA75" s="86"/>
      <c r="AB75" s="86"/>
      <c r="AC75" s="86"/>
      <c r="AD75" s="86"/>
      <c r="AE75" s="86"/>
      <c r="AF75" s="86"/>
      <c r="AG75" s="86"/>
      <c r="AH75" s="86"/>
      <c r="AI75" s="86"/>
      <c r="AJ75" s="86"/>
      <c r="AK75" s="86"/>
      <c r="AL75" s="86"/>
      <c r="AM75" s="86"/>
      <c r="AN75" s="86"/>
      <c r="AO75" s="86"/>
      <c r="AP75" s="86"/>
      <c r="AQ75" s="86"/>
      <c r="AR75" s="86"/>
      <c r="AS75" s="86"/>
    </row>
    <row r="76" spans="1:46" x14ac:dyDescent="0.3">
      <c r="A76" s="80"/>
      <c r="B76" s="80"/>
      <c r="C76" s="80"/>
      <c r="D76" s="83"/>
      <c r="E76" s="83"/>
      <c r="F76" s="83"/>
      <c r="G76" s="83"/>
      <c r="H76" s="83"/>
      <c r="I76" s="83"/>
      <c r="J76" s="83"/>
      <c r="K76" s="83"/>
      <c r="L76" s="83"/>
      <c r="M76" s="83"/>
      <c r="N76" s="83"/>
      <c r="O76" s="83"/>
      <c r="P76" s="83"/>
      <c r="Q76" s="83"/>
      <c r="R76" s="83"/>
      <c r="S76" s="83"/>
      <c r="T76" s="83"/>
      <c r="U76" s="83"/>
      <c r="V76" s="83"/>
      <c r="W76" s="83"/>
      <c r="X76" s="83"/>
      <c r="Y76" s="83"/>
      <c r="Z76" s="83"/>
      <c r="AA76" s="83"/>
      <c r="AB76" s="83"/>
      <c r="AC76" s="83"/>
      <c r="AD76" s="83"/>
      <c r="AE76" s="83"/>
      <c r="AF76" s="83"/>
      <c r="AG76" s="83"/>
      <c r="AH76" s="83"/>
      <c r="AI76" s="83"/>
      <c r="AJ76" s="83"/>
      <c r="AK76" s="83"/>
      <c r="AL76" s="83"/>
      <c r="AM76" s="83"/>
      <c r="AN76" s="83"/>
      <c r="AO76" s="83"/>
      <c r="AP76" s="83"/>
      <c r="AQ76" s="83"/>
      <c r="AR76" s="83"/>
      <c r="AS76" s="83"/>
    </row>
    <row r="77" spans="1:46" x14ac:dyDescent="0.3">
      <c r="A77" s="80"/>
      <c r="B77" s="80"/>
      <c r="C77" s="80"/>
      <c r="D77" s="83"/>
      <c r="E77" s="83"/>
      <c r="F77" s="83"/>
      <c r="G77" s="83"/>
      <c r="H77" s="83"/>
      <c r="I77" s="83"/>
      <c r="J77" s="83"/>
      <c r="K77" s="83"/>
      <c r="L77" s="83"/>
      <c r="M77" s="83"/>
      <c r="N77" s="83"/>
      <c r="O77" s="83"/>
      <c r="P77" s="83"/>
      <c r="Q77" s="83"/>
      <c r="R77" s="83"/>
      <c r="S77" s="83"/>
      <c r="T77" s="83"/>
      <c r="U77" s="83"/>
      <c r="V77" s="83"/>
      <c r="W77" s="83"/>
      <c r="X77" s="83"/>
      <c r="Y77" s="83"/>
      <c r="Z77" s="83"/>
      <c r="AA77" s="83"/>
      <c r="AB77" s="83"/>
      <c r="AC77" s="83"/>
      <c r="AD77" s="83"/>
      <c r="AE77" s="83"/>
      <c r="AF77" s="83"/>
      <c r="AG77" s="83"/>
      <c r="AH77" s="83"/>
      <c r="AI77" s="83"/>
      <c r="AJ77" s="83"/>
      <c r="AK77" s="83"/>
      <c r="AL77" s="83"/>
      <c r="AM77" s="83"/>
      <c r="AN77" s="83"/>
      <c r="AO77" s="83"/>
      <c r="AP77" s="83"/>
      <c r="AQ77" s="83"/>
      <c r="AR77" s="83"/>
      <c r="AS77" s="83"/>
    </row>
    <row r="78" spans="1:46" ht="28.8" x14ac:dyDescent="0.3">
      <c r="A78" s="80"/>
      <c r="B78" s="80"/>
      <c r="C78" s="80"/>
      <c r="D78" s="83"/>
      <c r="E78" s="97" t="s">
        <v>91</v>
      </c>
      <c r="F78" s="108"/>
      <c r="G78" s="109" t="s">
        <v>92</v>
      </c>
      <c r="H78" s="110" t="s">
        <v>93</v>
      </c>
      <c r="I78" s="102"/>
      <c r="J78" s="83"/>
      <c r="K78" s="83"/>
      <c r="L78" s="83"/>
      <c r="M78" s="83"/>
      <c r="N78" s="83"/>
      <c r="O78" s="83"/>
      <c r="P78" s="83"/>
      <c r="Q78" s="83"/>
      <c r="R78" s="83"/>
      <c r="S78" s="83"/>
      <c r="T78" s="83"/>
      <c r="U78" s="83"/>
      <c r="V78" s="83"/>
      <c r="W78" s="83"/>
      <c r="X78" s="83"/>
      <c r="Y78" s="83"/>
      <c r="Z78" s="83"/>
      <c r="AA78" s="83"/>
      <c r="AB78" s="83"/>
      <c r="AC78" s="83"/>
      <c r="AD78" s="83"/>
      <c r="AE78" s="83"/>
      <c r="AF78" s="83"/>
      <c r="AG78" s="83"/>
      <c r="AH78" s="83"/>
      <c r="AI78" s="83"/>
      <c r="AJ78" s="83"/>
      <c r="AK78" s="83"/>
      <c r="AL78" s="83"/>
      <c r="AM78" s="83"/>
      <c r="AN78" s="83"/>
      <c r="AO78" s="83"/>
      <c r="AP78" s="83"/>
      <c r="AQ78" s="83"/>
      <c r="AR78" s="83"/>
      <c r="AS78" s="83"/>
    </row>
    <row r="79" spans="1:46" x14ac:dyDescent="0.3">
      <c r="A79" s="80"/>
      <c r="B79" s="80"/>
      <c r="C79" s="80"/>
      <c r="D79" s="83"/>
      <c r="E79" s="111" t="s">
        <v>94</v>
      </c>
      <c r="F79" s="83"/>
      <c r="G79" s="77">
        <v>0.9</v>
      </c>
      <c r="H79" s="78">
        <f>268*1.06601429/List!B72*List!B83</f>
        <v>371.22224464060224</v>
      </c>
      <c r="I79" s="112"/>
      <c r="J79" s="83"/>
      <c r="K79" s="83"/>
      <c r="L79" s="83"/>
      <c r="M79" s="83"/>
      <c r="N79" s="83"/>
      <c r="O79" s="83"/>
      <c r="P79" s="83"/>
      <c r="Q79" s="83"/>
      <c r="R79" s="83"/>
      <c r="S79" s="83"/>
      <c r="T79" s="83"/>
      <c r="U79" s="83"/>
      <c r="V79" s="83"/>
      <c r="W79" s="83"/>
      <c r="X79" s="83"/>
      <c r="Y79" s="83"/>
      <c r="Z79" s="83"/>
      <c r="AA79" s="83"/>
      <c r="AB79" s="83"/>
      <c r="AC79" s="83"/>
      <c r="AD79" s="83"/>
      <c r="AE79" s="83"/>
      <c r="AF79" s="83"/>
      <c r="AG79" s="83"/>
      <c r="AH79" s="83"/>
      <c r="AI79" s="83"/>
      <c r="AJ79" s="83"/>
      <c r="AK79" s="83"/>
      <c r="AL79" s="83"/>
      <c r="AM79" s="83"/>
      <c r="AN79" s="83"/>
      <c r="AO79" s="83"/>
      <c r="AP79" s="83"/>
      <c r="AQ79" s="83"/>
      <c r="AR79" s="83"/>
      <c r="AS79" s="83"/>
    </row>
    <row r="80" spans="1:46" x14ac:dyDescent="0.3">
      <c r="A80" s="80"/>
      <c r="B80" s="80"/>
      <c r="C80" s="80"/>
      <c r="D80" s="83"/>
      <c r="E80" s="111" t="s">
        <v>95</v>
      </c>
      <c r="F80" s="83"/>
      <c r="G80" s="77">
        <v>0.1</v>
      </c>
      <c r="H80" s="78">
        <v>33.25</v>
      </c>
      <c r="I80" s="112"/>
      <c r="J80" s="83"/>
      <c r="K80" s="83"/>
      <c r="L80" s="83"/>
      <c r="M80" s="83"/>
      <c r="N80" s="83"/>
      <c r="O80" s="83"/>
      <c r="P80" s="83"/>
      <c r="Q80" s="83"/>
      <c r="R80" s="83"/>
      <c r="S80" s="83"/>
      <c r="T80" s="83"/>
      <c r="U80" s="83"/>
      <c r="V80" s="83"/>
      <c r="W80" s="83"/>
      <c r="X80" s="83"/>
      <c r="Y80" s="83"/>
      <c r="Z80" s="83"/>
      <c r="AA80" s="83"/>
      <c r="AB80" s="83"/>
      <c r="AC80" s="83"/>
      <c r="AD80" s="83"/>
      <c r="AE80" s="83"/>
      <c r="AF80" s="83"/>
      <c r="AG80" s="83"/>
      <c r="AH80" s="83"/>
      <c r="AI80" s="83"/>
      <c r="AJ80" s="83"/>
      <c r="AK80" s="83"/>
      <c r="AL80" s="83"/>
      <c r="AM80" s="83"/>
      <c r="AN80" s="83"/>
      <c r="AO80" s="83"/>
      <c r="AP80" s="83"/>
      <c r="AQ80" s="83"/>
      <c r="AR80" s="83"/>
      <c r="AS80" s="83"/>
    </row>
    <row r="81" spans="1:45" x14ac:dyDescent="0.3">
      <c r="A81" s="80"/>
      <c r="B81" s="80"/>
      <c r="C81" s="80"/>
      <c r="D81" s="83"/>
      <c r="E81" s="111" t="s">
        <v>96</v>
      </c>
      <c r="F81" s="83"/>
      <c r="G81" s="132">
        <f>1-G79-G80</f>
        <v>0</v>
      </c>
      <c r="H81" s="78">
        <v>0</v>
      </c>
      <c r="I81" s="112"/>
      <c r="J81" s="83"/>
      <c r="K81" s="83"/>
      <c r="L81" s="83"/>
      <c r="M81" s="83"/>
      <c r="N81" s="83"/>
      <c r="O81" s="83"/>
      <c r="P81" s="83"/>
      <c r="Q81" s="83"/>
      <c r="R81" s="83"/>
      <c r="S81" s="83"/>
      <c r="T81" s="83"/>
      <c r="U81" s="83"/>
      <c r="V81" s="83"/>
      <c r="W81" s="83"/>
      <c r="X81" s="83"/>
      <c r="Y81" s="83"/>
      <c r="Z81" s="83"/>
      <c r="AA81" s="83"/>
      <c r="AB81" s="83"/>
      <c r="AC81" s="83"/>
      <c r="AD81" s="83"/>
      <c r="AE81" s="83"/>
      <c r="AF81" s="83"/>
      <c r="AG81" s="83"/>
      <c r="AH81" s="83"/>
      <c r="AI81" s="83"/>
      <c r="AJ81" s="83"/>
      <c r="AK81" s="83"/>
      <c r="AL81" s="83"/>
      <c r="AM81" s="83"/>
      <c r="AN81" s="83"/>
      <c r="AO81" s="83"/>
      <c r="AP81" s="83"/>
      <c r="AQ81" s="83"/>
      <c r="AR81" s="83"/>
      <c r="AS81" s="83"/>
    </row>
    <row r="82" spans="1:45" ht="15.6" x14ac:dyDescent="0.3">
      <c r="A82" s="80"/>
      <c r="B82" s="80"/>
      <c r="C82" s="80"/>
      <c r="D82" s="83"/>
      <c r="E82" s="111" t="s">
        <v>97</v>
      </c>
      <c r="F82" s="83"/>
      <c r="G82" s="136">
        <f>SUM(G79:G81)</f>
        <v>1</v>
      </c>
      <c r="H82" s="143"/>
      <c r="I82" s="113"/>
      <c r="J82" s="83"/>
      <c r="K82" s="83"/>
      <c r="L82" s="83"/>
      <c r="M82" s="83"/>
      <c r="N82" s="83"/>
      <c r="O82" s="83"/>
      <c r="P82" s="83"/>
      <c r="Q82" s="83"/>
      <c r="R82" s="83"/>
      <c r="S82" s="83"/>
      <c r="T82" s="83"/>
      <c r="U82" s="83"/>
      <c r="V82" s="83"/>
      <c r="W82" s="83"/>
      <c r="X82" s="83"/>
      <c r="Y82" s="83"/>
      <c r="Z82" s="83"/>
      <c r="AA82" s="83"/>
      <c r="AB82" s="83"/>
      <c r="AC82" s="83"/>
      <c r="AD82" s="83"/>
      <c r="AE82" s="83"/>
      <c r="AF82" s="83"/>
      <c r="AG82" s="83"/>
      <c r="AH82" s="83"/>
      <c r="AI82" s="83"/>
      <c r="AJ82" s="83"/>
      <c r="AK82" s="83"/>
      <c r="AL82" s="83"/>
      <c r="AM82" s="83"/>
      <c r="AN82" s="83"/>
      <c r="AO82" s="83"/>
      <c r="AP82" s="83"/>
      <c r="AQ82" s="83"/>
      <c r="AR82" s="83"/>
      <c r="AS82" s="83"/>
    </row>
    <row r="83" spans="1:45" x14ac:dyDescent="0.3">
      <c r="A83" s="80"/>
      <c r="B83" s="80"/>
      <c r="C83" s="80"/>
      <c r="D83" s="83"/>
      <c r="E83" s="83"/>
      <c r="F83" s="83"/>
      <c r="G83" s="83"/>
      <c r="H83" s="83"/>
      <c r="I83" s="83"/>
      <c r="J83" s="83"/>
      <c r="K83" s="83"/>
      <c r="L83" s="83"/>
      <c r="M83" s="83"/>
      <c r="N83" s="83"/>
      <c r="O83" s="83"/>
      <c r="P83" s="83"/>
      <c r="Q83" s="83"/>
      <c r="R83" s="83"/>
      <c r="S83" s="83"/>
      <c r="T83" s="83"/>
      <c r="U83" s="83"/>
      <c r="V83" s="83"/>
      <c r="W83" s="83"/>
      <c r="X83" s="83"/>
      <c r="Y83" s="83"/>
      <c r="Z83" s="83"/>
      <c r="AA83" s="83"/>
      <c r="AB83" s="83"/>
      <c r="AC83" s="83"/>
      <c r="AD83" s="83"/>
      <c r="AE83" s="83"/>
      <c r="AF83" s="83"/>
      <c r="AG83" s="83"/>
      <c r="AH83" s="83"/>
      <c r="AI83" s="83"/>
      <c r="AJ83" s="83"/>
      <c r="AK83" s="83"/>
      <c r="AL83" s="83"/>
      <c r="AM83" s="83"/>
      <c r="AN83" s="83"/>
      <c r="AO83" s="83"/>
      <c r="AP83" s="83"/>
      <c r="AQ83" s="83"/>
      <c r="AR83" s="83"/>
      <c r="AS83" s="83"/>
    </row>
    <row r="84" spans="1:45" x14ac:dyDescent="0.3">
      <c r="A84" s="80"/>
      <c r="B84" s="80"/>
      <c r="C84" s="80"/>
      <c r="D84" s="83"/>
      <c r="E84" s="83"/>
      <c r="F84" s="83"/>
      <c r="G84" s="83"/>
      <c r="H84" s="83"/>
      <c r="I84" s="83"/>
      <c r="J84" s="83"/>
      <c r="K84" s="83"/>
      <c r="L84" s="83"/>
      <c r="M84" s="83"/>
      <c r="N84" s="83"/>
      <c r="O84" s="83"/>
      <c r="P84" s="83"/>
      <c r="Q84" s="83"/>
      <c r="R84" s="83"/>
      <c r="S84" s="83"/>
      <c r="T84" s="83"/>
      <c r="U84" s="83"/>
      <c r="V84" s="83"/>
      <c r="W84" s="83"/>
      <c r="X84" s="83"/>
      <c r="Y84" s="83"/>
      <c r="Z84" s="83"/>
      <c r="AA84" s="83"/>
      <c r="AB84" s="83"/>
      <c r="AC84" s="83"/>
      <c r="AD84" s="83"/>
      <c r="AE84" s="83"/>
      <c r="AF84" s="83"/>
      <c r="AG84" s="83"/>
      <c r="AH84" s="83"/>
      <c r="AI84" s="83"/>
      <c r="AJ84" s="83"/>
      <c r="AK84" s="83"/>
      <c r="AL84" s="83"/>
      <c r="AM84" s="83"/>
      <c r="AN84" s="83"/>
      <c r="AO84" s="83"/>
      <c r="AP84" s="83"/>
      <c r="AQ84" s="83"/>
      <c r="AR84" s="83"/>
      <c r="AS84" s="83"/>
    </row>
    <row r="85" spans="1:45" x14ac:dyDescent="0.3">
      <c r="A85" s="80"/>
      <c r="B85" s="80"/>
      <c r="C85" s="80"/>
      <c r="D85" s="83"/>
      <c r="E85" s="97" t="s">
        <v>99</v>
      </c>
      <c r="F85" s="137"/>
      <c r="G85" s="77">
        <v>1</v>
      </c>
      <c r="H85" s="83"/>
      <c r="I85" s="83"/>
      <c r="J85" s="83"/>
      <c r="K85" s="83"/>
      <c r="L85" s="83"/>
      <c r="M85" s="83"/>
      <c r="N85" s="83"/>
      <c r="O85" s="83"/>
      <c r="P85" s="83"/>
      <c r="Q85" s="83"/>
      <c r="R85" s="83"/>
      <c r="S85" s="83"/>
      <c r="T85" s="83"/>
      <c r="U85" s="83"/>
      <c r="V85" s="83"/>
      <c r="W85" s="83"/>
      <c r="X85" s="83"/>
      <c r="Y85" s="83"/>
      <c r="Z85" s="83"/>
      <c r="AA85" s="83"/>
      <c r="AB85" s="83"/>
      <c r="AC85" s="83"/>
      <c r="AD85" s="83"/>
      <c r="AE85" s="83"/>
      <c r="AF85" s="83"/>
      <c r="AG85" s="83"/>
      <c r="AH85" s="83"/>
      <c r="AI85" s="83"/>
      <c r="AJ85" s="83"/>
      <c r="AK85" s="83"/>
      <c r="AL85" s="83"/>
      <c r="AM85" s="83"/>
      <c r="AN85" s="83"/>
      <c r="AO85" s="83"/>
      <c r="AP85" s="83"/>
      <c r="AQ85" s="83"/>
      <c r="AR85" s="83"/>
      <c r="AS85" s="83"/>
    </row>
    <row r="86" spans="1:45" x14ac:dyDescent="0.3">
      <c r="A86" s="80"/>
      <c r="B86" s="80"/>
      <c r="C86" s="80"/>
      <c r="D86" s="83"/>
      <c r="E86" s="83"/>
      <c r="F86" s="83"/>
      <c r="G86" s="83"/>
      <c r="H86" s="83"/>
      <c r="I86" s="83"/>
      <c r="J86" s="83"/>
      <c r="K86" s="83"/>
      <c r="L86" s="83"/>
      <c r="M86" s="83"/>
      <c r="N86" s="83"/>
      <c r="O86" s="83"/>
      <c r="P86" s="83"/>
      <c r="Q86" s="83"/>
      <c r="R86" s="83"/>
      <c r="S86" s="83"/>
      <c r="T86" s="83"/>
      <c r="U86" s="83"/>
      <c r="V86" s="83"/>
      <c r="W86" s="83"/>
      <c r="X86" s="83"/>
      <c r="Y86" s="83"/>
      <c r="Z86" s="83"/>
      <c r="AA86" s="83"/>
      <c r="AB86" s="83"/>
      <c r="AC86" s="83"/>
      <c r="AD86" s="83"/>
      <c r="AE86" s="83"/>
      <c r="AF86" s="83"/>
      <c r="AG86" s="83"/>
      <c r="AH86" s="83"/>
      <c r="AI86" s="83"/>
      <c r="AJ86" s="83"/>
      <c r="AK86" s="83"/>
      <c r="AL86" s="83"/>
      <c r="AM86" s="83"/>
      <c r="AN86" s="83"/>
      <c r="AO86" s="83"/>
      <c r="AP86" s="83"/>
      <c r="AQ86" s="83"/>
      <c r="AR86" s="83"/>
      <c r="AS86" s="83"/>
    </row>
    <row r="87" spans="1:45" x14ac:dyDescent="0.3">
      <c r="A87" s="80"/>
      <c r="B87" s="80"/>
      <c r="C87" s="80"/>
      <c r="D87" s="83"/>
      <c r="E87" s="97" t="s">
        <v>100</v>
      </c>
      <c r="F87" s="83"/>
      <c r="G87" s="133"/>
      <c r="H87" s="83"/>
      <c r="I87" s="83"/>
      <c r="J87" s="83"/>
      <c r="K87" s="83"/>
      <c r="L87" s="83"/>
      <c r="M87" s="83"/>
      <c r="N87" s="83"/>
      <c r="O87" s="83"/>
      <c r="P87" s="83"/>
      <c r="Q87" s="83"/>
      <c r="R87" s="83"/>
      <c r="S87" s="83"/>
      <c r="T87" s="83"/>
      <c r="U87" s="83"/>
      <c r="V87" s="83"/>
      <c r="W87" s="83"/>
      <c r="X87" s="83"/>
      <c r="Y87" s="83"/>
      <c r="Z87" s="83"/>
      <c r="AA87" s="83"/>
      <c r="AB87" s="83"/>
      <c r="AC87" s="83"/>
      <c r="AD87" s="83"/>
      <c r="AE87" s="83"/>
      <c r="AF87" s="83"/>
      <c r="AG87" s="83"/>
      <c r="AH87" s="83"/>
      <c r="AI87" s="83"/>
      <c r="AJ87" s="83"/>
      <c r="AK87" s="83"/>
      <c r="AL87" s="83"/>
      <c r="AM87" s="83"/>
      <c r="AN87" s="83"/>
      <c r="AO87" s="83"/>
      <c r="AP87" s="83"/>
      <c r="AQ87" s="83"/>
      <c r="AR87" s="83"/>
      <c r="AS87" s="83"/>
    </row>
    <row r="88" spans="1:45" x14ac:dyDescent="0.3">
      <c r="A88" s="80"/>
      <c r="B88" s="80"/>
      <c r="C88" s="80"/>
      <c r="D88" s="83"/>
      <c r="E88" s="97" t="s">
        <v>101</v>
      </c>
      <c r="F88" s="83"/>
      <c r="G88" s="133"/>
      <c r="H88" s="83"/>
      <c r="I88" s="83"/>
      <c r="J88" s="83"/>
      <c r="K88" s="83"/>
      <c r="L88" s="83"/>
      <c r="M88" s="83"/>
      <c r="N88" s="83"/>
      <c r="O88" s="83"/>
      <c r="P88" s="83"/>
      <c r="Q88" s="83"/>
      <c r="R88" s="83"/>
      <c r="S88" s="83"/>
      <c r="T88" s="83"/>
      <c r="U88" s="83"/>
      <c r="V88" s="83"/>
      <c r="W88" s="83"/>
      <c r="X88" s="83"/>
      <c r="Y88" s="83"/>
      <c r="Z88" s="83"/>
      <c r="AA88" s="83"/>
      <c r="AB88" s="83"/>
      <c r="AC88" s="83"/>
      <c r="AD88" s="83"/>
      <c r="AE88" s="83"/>
      <c r="AF88" s="83"/>
      <c r="AG88" s="83"/>
      <c r="AH88" s="83"/>
      <c r="AI88" s="83"/>
      <c r="AJ88" s="83"/>
      <c r="AK88" s="83"/>
      <c r="AL88" s="83"/>
      <c r="AM88" s="83"/>
      <c r="AN88" s="83"/>
      <c r="AO88" s="83"/>
      <c r="AP88" s="83"/>
      <c r="AQ88" s="83"/>
      <c r="AR88" s="83"/>
      <c r="AS88" s="83"/>
    </row>
    <row r="89" spans="1:45" x14ac:dyDescent="0.3">
      <c r="A89" s="80"/>
      <c r="B89" s="80"/>
      <c r="C89" s="80"/>
      <c r="D89" s="83"/>
      <c r="E89" s="83"/>
      <c r="F89" s="83"/>
      <c r="G89" s="83"/>
      <c r="H89" s="83"/>
      <c r="I89" s="83"/>
      <c r="J89" s="83"/>
      <c r="K89" s="83"/>
      <c r="L89" s="83"/>
      <c r="M89" s="83"/>
      <c r="N89" s="83"/>
      <c r="O89" s="83"/>
      <c r="P89" s="83"/>
      <c r="Q89" s="83"/>
      <c r="R89" s="83"/>
      <c r="S89" s="83"/>
      <c r="T89" s="83"/>
      <c r="U89" s="83"/>
      <c r="V89" s="83"/>
      <c r="W89" s="83"/>
      <c r="X89" s="83"/>
      <c r="Y89" s="83"/>
      <c r="Z89" s="83"/>
      <c r="AA89" s="83"/>
      <c r="AB89" s="83"/>
      <c r="AC89" s="83"/>
      <c r="AD89" s="83"/>
      <c r="AE89" s="83"/>
      <c r="AF89" s="83"/>
      <c r="AG89" s="83"/>
      <c r="AH89" s="83"/>
      <c r="AI89" s="83"/>
      <c r="AJ89" s="83"/>
      <c r="AK89" s="83"/>
      <c r="AL89" s="83"/>
      <c r="AM89" s="83"/>
      <c r="AN89" s="83"/>
      <c r="AO89" s="83"/>
      <c r="AP89" s="83"/>
      <c r="AQ89" s="83"/>
      <c r="AR89" s="83"/>
      <c r="AS89" s="83"/>
    </row>
    <row r="90" spans="1:45" x14ac:dyDescent="0.3">
      <c r="A90" s="80"/>
      <c r="B90" s="80"/>
      <c r="C90" s="80"/>
      <c r="D90" s="83"/>
      <c r="E90" s="83"/>
      <c r="F90" s="83"/>
      <c r="G90" s="83"/>
      <c r="H90" s="83"/>
      <c r="I90" s="83"/>
      <c r="J90" s="83"/>
      <c r="K90" s="83"/>
      <c r="L90" s="83"/>
      <c r="M90" s="83"/>
      <c r="N90" s="83"/>
      <c r="O90" s="83"/>
      <c r="P90" s="83"/>
      <c r="Q90" s="83"/>
      <c r="R90" s="83"/>
      <c r="S90" s="83"/>
      <c r="T90" s="83"/>
      <c r="U90" s="83"/>
      <c r="V90" s="83"/>
      <c r="W90" s="83"/>
      <c r="X90" s="83"/>
      <c r="Y90" s="83"/>
      <c r="Z90" s="83"/>
      <c r="AA90" s="83"/>
      <c r="AB90" s="83"/>
      <c r="AC90" s="83"/>
      <c r="AD90" s="83"/>
      <c r="AE90" s="83"/>
      <c r="AF90" s="83"/>
      <c r="AG90" s="83"/>
      <c r="AH90" s="83"/>
      <c r="AI90" s="83"/>
      <c r="AJ90" s="83"/>
      <c r="AK90" s="83"/>
      <c r="AL90" s="83"/>
      <c r="AM90" s="83"/>
      <c r="AN90" s="83"/>
      <c r="AO90" s="83"/>
      <c r="AP90" s="83"/>
      <c r="AQ90" s="83"/>
      <c r="AR90" s="83"/>
      <c r="AS90" s="83"/>
    </row>
    <row r="91" spans="1:45" x14ac:dyDescent="0.3">
      <c r="A91" s="80"/>
      <c r="B91" s="80"/>
      <c r="C91" s="80"/>
      <c r="D91" s="83"/>
      <c r="E91" s="97" t="s">
        <v>102</v>
      </c>
      <c r="F91" s="83"/>
      <c r="G91" s="83"/>
      <c r="H91" s="83"/>
      <c r="I91" s="83"/>
      <c r="J91" s="83"/>
      <c r="K91" s="83"/>
      <c r="L91" s="83"/>
      <c r="M91" s="83"/>
      <c r="N91" s="83"/>
      <c r="O91" s="83"/>
      <c r="P91" s="83"/>
      <c r="Q91" s="83"/>
      <c r="R91" s="83"/>
      <c r="S91" s="83"/>
      <c r="T91" s="83"/>
      <c r="U91" s="83"/>
      <c r="V91" s="83"/>
      <c r="W91" s="83"/>
      <c r="X91" s="83"/>
      <c r="Y91" s="83"/>
      <c r="Z91" s="83"/>
      <c r="AA91" s="83"/>
      <c r="AB91" s="83"/>
      <c r="AC91" s="83"/>
      <c r="AD91" s="83"/>
      <c r="AE91" s="83"/>
      <c r="AF91" s="83"/>
      <c r="AG91" s="83"/>
      <c r="AH91" s="83"/>
      <c r="AI91" s="83"/>
      <c r="AJ91" s="83"/>
      <c r="AK91" s="83"/>
      <c r="AL91" s="83"/>
      <c r="AM91" s="83"/>
      <c r="AN91" s="83"/>
      <c r="AO91" s="83"/>
      <c r="AP91" s="83"/>
      <c r="AQ91" s="83"/>
      <c r="AR91" s="83"/>
      <c r="AS91" s="83"/>
    </row>
    <row r="92" spans="1:45" x14ac:dyDescent="0.3">
      <c r="A92" s="80"/>
      <c r="B92" s="80"/>
      <c r="C92" s="80"/>
      <c r="D92" s="83"/>
      <c r="E92" s="111" t="str">
        <f t="shared" ref="E92:E97" si="0">E21</f>
        <v>Xydalba</v>
      </c>
      <c r="F92" s="83"/>
      <c r="G92" s="83"/>
      <c r="H92" s="83"/>
      <c r="I92" s="83"/>
      <c r="J92" s="83"/>
      <c r="K92" s="83"/>
      <c r="L92" s="83"/>
      <c r="M92" s="83"/>
      <c r="N92" s="83"/>
      <c r="O92" s="83"/>
      <c r="P92" s="83"/>
      <c r="Q92" s="83"/>
      <c r="R92" s="83"/>
      <c r="S92" s="83"/>
      <c r="T92" s="83"/>
      <c r="U92" s="83"/>
      <c r="V92" s="83"/>
      <c r="W92" s="83"/>
      <c r="X92" s="83"/>
      <c r="Y92" s="83"/>
      <c r="Z92" s="83"/>
      <c r="AA92" s="83"/>
      <c r="AB92" s="83"/>
      <c r="AC92" s="83"/>
      <c r="AD92" s="83"/>
      <c r="AE92" s="83"/>
      <c r="AF92" s="83"/>
      <c r="AG92" s="83"/>
      <c r="AH92" s="83"/>
      <c r="AI92" s="83"/>
      <c r="AJ92" s="83"/>
      <c r="AK92" s="83"/>
      <c r="AL92" s="83"/>
      <c r="AM92" s="83"/>
      <c r="AN92" s="83"/>
      <c r="AO92" s="83"/>
      <c r="AP92" s="83"/>
      <c r="AQ92" s="83"/>
      <c r="AR92" s="83"/>
      <c r="AS92" s="83"/>
    </row>
    <row r="93" spans="1:45" x14ac:dyDescent="0.3">
      <c r="A93" s="80"/>
      <c r="B93" s="80"/>
      <c r="C93" s="80"/>
      <c r="D93" s="83"/>
      <c r="E93" s="111" t="str">
        <f t="shared" si="0"/>
        <v>Vancomycin IV</v>
      </c>
      <c r="F93" s="83"/>
      <c r="G93" s="83"/>
      <c r="H93" s="83"/>
      <c r="I93" s="83"/>
      <c r="J93" s="83"/>
      <c r="K93" s="83"/>
      <c r="L93" s="83"/>
      <c r="M93" s="83"/>
      <c r="N93" s="83"/>
      <c r="O93" s="83"/>
      <c r="P93" s="83"/>
      <c r="Q93" s="83"/>
      <c r="R93" s="83"/>
      <c r="S93" s="83"/>
      <c r="T93" s="83"/>
      <c r="U93" s="83"/>
      <c r="V93" s="83"/>
      <c r="W93" s="83"/>
      <c r="X93" s="83"/>
      <c r="Y93" s="83"/>
      <c r="Z93" s="83"/>
      <c r="AA93" s="83"/>
      <c r="AB93" s="83"/>
      <c r="AC93" s="83"/>
      <c r="AD93" s="83"/>
      <c r="AE93" s="83"/>
      <c r="AF93" s="83"/>
      <c r="AG93" s="83"/>
      <c r="AH93" s="83"/>
      <c r="AI93" s="83"/>
      <c r="AJ93" s="83"/>
      <c r="AK93" s="83"/>
      <c r="AL93" s="83"/>
      <c r="AM93" s="83"/>
      <c r="AN93" s="83"/>
      <c r="AO93" s="83"/>
      <c r="AP93" s="83"/>
      <c r="AQ93" s="83"/>
      <c r="AR93" s="83"/>
      <c r="AS93" s="83"/>
    </row>
    <row r="94" spans="1:45" x14ac:dyDescent="0.3">
      <c r="A94" s="80"/>
      <c r="B94" s="80"/>
      <c r="C94" s="80"/>
      <c r="D94" s="83"/>
      <c r="E94" s="111" t="str">
        <f t="shared" si="0"/>
        <v>Linezolid IV</v>
      </c>
      <c r="F94" s="83"/>
      <c r="G94" s="83"/>
      <c r="H94" s="83"/>
      <c r="I94" s="83"/>
      <c r="J94" s="83"/>
      <c r="K94" s="83"/>
      <c r="L94" s="83"/>
      <c r="M94" s="83"/>
      <c r="N94" s="83"/>
      <c r="O94" s="83"/>
      <c r="P94" s="83"/>
      <c r="Q94" s="83"/>
      <c r="R94" s="83"/>
      <c r="S94" s="83"/>
      <c r="T94" s="83"/>
      <c r="U94" s="83"/>
      <c r="V94" s="83"/>
      <c r="W94" s="83"/>
      <c r="X94" s="83"/>
      <c r="Y94" s="83"/>
      <c r="Z94" s="83"/>
      <c r="AA94" s="83"/>
      <c r="AB94" s="83"/>
      <c r="AC94" s="83"/>
      <c r="AD94" s="83"/>
      <c r="AE94" s="83"/>
      <c r="AF94" s="83"/>
      <c r="AG94" s="83"/>
      <c r="AH94" s="83"/>
      <c r="AI94" s="83"/>
      <c r="AJ94" s="83"/>
      <c r="AK94" s="83"/>
      <c r="AL94" s="83"/>
      <c r="AM94" s="83"/>
      <c r="AN94" s="83"/>
      <c r="AO94" s="83"/>
      <c r="AP94" s="83"/>
      <c r="AQ94" s="83"/>
      <c r="AR94" s="83"/>
      <c r="AS94" s="83"/>
    </row>
    <row r="95" spans="1:45" x14ac:dyDescent="0.3">
      <c r="A95" s="80"/>
      <c r="B95" s="80"/>
      <c r="C95" s="80"/>
      <c r="D95" s="83"/>
      <c r="E95" s="111" t="str">
        <f t="shared" si="0"/>
        <v>Daptomycin</v>
      </c>
      <c r="F95" s="83"/>
      <c r="G95" s="83"/>
      <c r="H95" s="83"/>
      <c r="I95" s="83"/>
      <c r="J95" s="83"/>
      <c r="K95" s="83"/>
      <c r="L95" s="83"/>
      <c r="M95" s="83"/>
      <c r="N95" s="83"/>
      <c r="O95" s="83"/>
      <c r="P95" s="83"/>
      <c r="Q95" s="83"/>
      <c r="R95" s="83"/>
      <c r="S95" s="83"/>
      <c r="T95" s="83"/>
      <c r="U95" s="83"/>
      <c r="V95" s="83"/>
      <c r="W95" s="83"/>
      <c r="X95" s="83"/>
      <c r="Y95" s="83"/>
      <c r="Z95" s="83"/>
      <c r="AA95" s="83"/>
      <c r="AB95" s="83"/>
      <c r="AC95" s="83"/>
      <c r="AD95" s="83"/>
      <c r="AE95" s="83"/>
      <c r="AF95" s="83"/>
      <c r="AG95" s="83"/>
      <c r="AH95" s="83"/>
      <c r="AI95" s="83"/>
      <c r="AJ95" s="83"/>
      <c r="AK95" s="83"/>
      <c r="AL95" s="83"/>
      <c r="AM95" s="83"/>
      <c r="AN95" s="83"/>
      <c r="AO95" s="83"/>
      <c r="AP95" s="83"/>
      <c r="AQ95" s="83"/>
      <c r="AR95" s="83"/>
      <c r="AS95" s="83"/>
    </row>
    <row r="96" spans="1:45" x14ac:dyDescent="0.3">
      <c r="A96" s="80"/>
      <c r="B96" s="80"/>
      <c r="C96" s="80"/>
      <c r="D96" s="83"/>
      <c r="E96" s="111" t="str">
        <f t="shared" si="0"/>
        <v>Cefazolin IV</v>
      </c>
      <c r="F96" s="83"/>
      <c r="G96" s="83"/>
      <c r="H96" s="83"/>
      <c r="I96" s="83"/>
      <c r="J96" s="83"/>
      <c r="K96" s="83"/>
      <c r="L96" s="83"/>
      <c r="M96" s="83"/>
      <c r="N96" s="83"/>
      <c r="O96" s="83"/>
      <c r="P96" s="83"/>
      <c r="Q96" s="83"/>
      <c r="R96" s="83"/>
      <c r="S96" s="83"/>
      <c r="T96" s="83"/>
      <c r="U96" s="83"/>
      <c r="V96" s="83"/>
      <c r="W96" s="83"/>
      <c r="X96" s="83"/>
      <c r="Y96" s="83"/>
      <c r="Z96" s="83"/>
      <c r="AA96" s="83"/>
      <c r="AB96" s="83"/>
      <c r="AC96" s="83"/>
      <c r="AD96" s="83"/>
      <c r="AE96" s="83"/>
      <c r="AF96" s="83"/>
      <c r="AG96" s="83"/>
      <c r="AH96" s="83"/>
      <c r="AI96" s="83"/>
      <c r="AJ96" s="83"/>
      <c r="AK96" s="83"/>
      <c r="AL96" s="83"/>
      <c r="AM96" s="83"/>
      <c r="AN96" s="83"/>
      <c r="AO96" s="83"/>
      <c r="AP96" s="83"/>
      <c r="AQ96" s="83"/>
      <c r="AR96" s="83"/>
      <c r="AS96" s="83"/>
    </row>
    <row r="97" spans="1:45" x14ac:dyDescent="0.3">
      <c r="A97" s="80"/>
      <c r="B97" s="80"/>
      <c r="C97" s="80"/>
      <c r="D97" s="83"/>
      <c r="E97" s="111" t="str">
        <f t="shared" si="0"/>
        <v>Ceftriaxone IV</v>
      </c>
      <c r="F97" s="83"/>
      <c r="G97" s="83"/>
      <c r="H97" s="83"/>
      <c r="I97" s="83"/>
      <c r="J97" s="83"/>
      <c r="K97" s="83"/>
      <c r="L97" s="83"/>
      <c r="M97" s="83"/>
      <c r="N97" s="83"/>
      <c r="O97" s="83"/>
      <c r="P97" s="83"/>
      <c r="Q97" s="83"/>
      <c r="R97" s="83"/>
      <c r="S97" s="83"/>
      <c r="T97" s="83"/>
      <c r="U97" s="83"/>
      <c r="V97" s="83"/>
      <c r="W97" s="83"/>
      <c r="X97" s="83"/>
      <c r="Y97" s="83"/>
      <c r="Z97" s="83"/>
      <c r="AA97" s="83"/>
      <c r="AB97" s="83"/>
      <c r="AC97" s="83"/>
      <c r="AD97" s="83"/>
      <c r="AE97" s="83"/>
      <c r="AF97" s="83"/>
      <c r="AG97" s="83"/>
      <c r="AH97" s="83"/>
      <c r="AI97" s="83"/>
      <c r="AJ97" s="83"/>
      <c r="AK97" s="83"/>
      <c r="AL97" s="83"/>
      <c r="AM97" s="83"/>
      <c r="AN97" s="83"/>
      <c r="AO97" s="83"/>
      <c r="AP97" s="83"/>
      <c r="AQ97" s="83"/>
      <c r="AR97" s="83"/>
      <c r="AS97" s="83"/>
    </row>
    <row r="98" spans="1:45" x14ac:dyDescent="0.3">
      <c r="A98" s="80"/>
      <c r="B98" s="80"/>
      <c r="C98" s="80"/>
      <c r="D98" s="83"/>
      <c r="E98" s="83"/>
      <c r="F98" s="83"/>
      <c r="G98" s="83"/>
      <c r="H98" s="83"/>
      <c r="I98" s="83"/>
      <c r="J98" s="83"/>
      <c r="K98" s="83"/>
      <c r="L98" s="83"/>
      <c r="M98" s="83"/>
      <c r="N98" s="83"/>
      <c r="O98" s="83"/>
      <c r="P98" s="83"/>
      <c r="Q98" s="83"/>
      <c r="R98" s="83"/>
      <c r="S98" s="83"/>
      <c r="T98" s="83"/>
      <c r="U98" s="83"/>
      <c r="V98" s="83"/>
      <c r="W98" s="83"/>
      <c r="X98" s="83"/>
      <c r="Y98" s="83"/>
      <c r="Z98" s="83"/>
      <c r="AA98" s="83"/>
      <c r="AB98" s="83"/>
      <c r="AC98" s="83"/>
      <c r="AD98" s="83"/>
      <c r="AE98" s="83"/>
      <c r="AF98" s="83"/>
      <c r="AG98" s="83"/>
      <c r="AH98" s="83"/>
      <c r="AI98" s="83"/>
      <c r="AJ98" s="83"/>
      <c r="AK98" s="83"/>
      <c r="AL98" s="83"/>
      <c r="AM98" s="83"/>
      <c r="AN98" s="83"/>
      <c r="AO98" s="83"/>
      <c r="AP98" s="83"/>
      <c r="AQ98" s="83"/>
      <c r="AR98" s="83"/>
      <c r="AS98" s="83"/>
    </row>
    <row r="99" spans="1:45" x14ac:dyDescent="0.3">
      <c r="A99" s="80"/>
      <c r="B99" s="80"/>
      <c r="C99" s="80"/>
      <c r="D99" s="83"/>
      <c r="E99" s="83"/>
      <c r="F99" s="83"/>
      <c r="G99" s="83"/>
      <c r="H99" s="83"/>
      <c r="I99" s="83"/>
      <c r="J99" s="83"/>
      <c r="K99" s="83"/>
      <c r="L99" s="83"/>
      <c r="M99" s="83"/>
      <c r="N99" s="83"/>
      <c r="O99" s="83"/>
      <c r="P99" s="83"/>
      <c r="Q99" s="83"/>
      <c r="R99" s="83"/>
      <c r="S99" s="83"/>
      <c r="T99" s="83"/>
      <c r="U99" s="83"/>
      <c r="V99" s="83"/>
      <c r="W99" s="83"/>
      <c r="X99" s="83"/>
      <c r="Y99" s="83"/>
      <c r="Z99" s="83"/>
      <c r="AA99" s="83"/>
      <c r="AB99" s="83"/>
      <c r="AC99" s="83"/>
      <c r="AD99" s="83"/>
      <c r="AE99" s="83"/>
      <c r="AF99" s="83"/>
      <c r="AG99" s="83"/>
      <c r="AH99" s="83"/>
      <c r="AI99" s="83"/>
      <c r="AJ99" s="83"/>
      <c r="AK99" s="83"/>
      <c r="AL99" s="83"/>
      <c r="AM99" s="83"/>
      <c r="AN99" s="83"/>
      <c r="AO99" s="83"/>
      <c r="AP99" s="83"/>
      <c r="AQ99" s="83"/>
      <c r="AR99" s="83"/>
      <c r="AS99" s="83"/>
    </row>
    <row r="100" spans="1:45" x14ac:dyDescent="0.3">
      <c r="A100" s="80"/>
      <c r="B100" s="80"/>
      <c r="C100" s="80"/>
      <c r="D100" s="83"/>
      <c r="E100" s="83"/>
      <c r="F100" s="83"/>
      <c r="G100" s="83"/>
      <c r="H100" s="83"/>
      <c r="I100" s="8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c r="AQ100" s="83"/>
      <c r="AR100" s="83"/>
      <c r="AS100" s="83"/>
    </row>
    <row r="101" spans="1:45" ht="18.600000000000001" thickBot="1" x14ac:dyDescent="0.4">
      <c r="A101" s="80"/>
      <c r="B101" s="80"/>
      <c r="C101" s="80"/>
      <c r="D101" s="83"/>
      <c r="E101" s="85" t="s">
        <v>103</v>
      </c>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6"/>
      <c r="AF101" s="86"/>
      <c r="AG101" s="86"/>
      <c r="AH101" s="86"/>
      <c r="AI101" s="86"/>
      <c r="AJ101" s="86"/>
      <c r="AK101" s="86"/>
      <c r="AL101" s="86"/>
      <c r="AM101" s="86"/>
      <c r="AN101" s="86"/>
      <c r="AO101" s="86"/>
      <c r="AP101" s="86"/>
      <c r="AQ101" s="86"/>
      <c r="AR101" s="86"/>
      <c r="AS101" s="86"/>
    </row>
    <row r="102" spans="1:45" x14ac:dyDescent="0.3">
      <c r="A102" s="80"/>
      <c r="B102" s="80"/>
      <c r="C102" s="80"/>
      <c r="D102" s="83"/>
      <c r="E102" s="83"/>
      <c r="F102" s="83"/>
      <c r="G102" s="83"/>
      <c r="H102" s="83"/>
      <c r="I102" s="83"/>
      <c r="J102" s="83"/>
      <c r="K102" s="83"/>
      <c r="L102" s="83"/>
      <c r="M102" s="83"/>
      <c r="N102" s="83"/>
      <c r="O102" s="83"/>
      <c r="P102" s="83"/>
      <c r="Q102" s="83"/>
      <c r="R102" s="83"/>
      <c r="S102" s="83"/>
      <c r="T102" s="83"/>
      <c r="U102" s="83"/>
      <c r="V102" s="83"/>
      <c r="W102" s="83"/>
      <c r="X102" s="83"/>
      <c r="Y102" s="83"/>
      <c r="Z102" s="83"/>
      <c r="AA102" s="83"/>
      <c r="AB102" s="83"/>
      <c r="AC102" s="83"/>
      <c r="AD102" s="83"/>
      <c r="AE102" s="83"/>
      <c r="AF102" s="83"/>
      <c r="AG102" s="83"/>
      <c r="AH102" s="83"/>
      <c r="AI102" s="83"/>
      <c r="AJ102" s="83"/>
      <c r="AK102" s="83"/>
      <c r="AL102" s="83"/>
      <c r="AM102" s="83"/>
      <c r="AN102" s="83"/>
      <c r="AO102" s="83"/>
      <c r="AP102" s="83"/>
      <c r="AQ102" s="83"/>
      <c r="AR102" s="83"/>
      <c r="AS102" s="83"/>
    </row>
    <row r="103" spans="1:45" x14ac:dyDescent="0.3">
      <c r="A103" s="80"/>
      <c r="B103" s="80"/>
      <c r="C103" s="80"/>
      <c r="D103" s="83"/>
      <c r="E103" s="83"/>
      <c r="F103" s="83"/>
      <c r="G103" s="83"/>
      <c r="H103" s="83"/>
      <c r="I103" s="83"/>
      <c r="J103" s="83"/>
      <c r="K103" s="83"/>
      <c r="L103" s="83"/>
      <c r="M103" s="83"/>
      <c r="N103" s="83"/>
      <c r="O103" s="83"/>
      <c r="P103" s="83"/>
      <c r="Q103" s="83"/>
      <c r="R103" s="83"/>
      <c r="S103" s="83"/>
      <c r="T103" s="83"/>
      <c r="U103" s="83"/>
      <c r="V103" s="83"/>
      <c r="W103" s="83"/>
      <c r="X103" s="83"/>
      <c r="Y103" s="83"/>
      <c r="Z103" s="83"/>
      <c r="AA103" s="83"/>
      <c r="AB103" s="83"/>
      <c r="AC103" s="83"/>
      <c r="AD103" s="83"/>
      <c r="AE103" s="83"/>
      <c r="AF103" s="83"/>
      <c r="AG103" s="83"/>
      <c r="AH103" s="83"/>
      <c r="AI103" s="83"/>
      <c r="AJ103" s="83"/>
      <c r="AK103" s="83"/>
      <c r="AL103" s="83"/>
      <c r="AM103" s="83"/>
      <c r="AN103" s="83"/>
      <c r="AO103" s="83"/>
      <c r="AP103" s="83"/>
      <c r="AQ103" s="83"/>
      <c r="AR103" s="83"/>
      <c r="AS103" s="83"/>
    </row>
    <row r="104" spans="1:45" x14ac:dyDescent="0.3">
      <c r="A104" s="80"/>
      <c r="B104" s="80"/>
      <c r="C104" s="80"/>
      <c r="D104" s="83"/>
      <c r="E104" s="108" t="s">
        <v>104</v>
      </c>
      <c r="F104" s="83"/>
      <c r="G104" s="114" t="s">
        <v>105</v>
      </c>
      <c r="H104" s="115" t="s">
        <v>73</v>
      </c>
      <c r="I104" s="87"/>
      <c r="J104" s="87"/>
      <c r="K104" s="87"/>
      <c r="L104" s="87"/>
      <c r="M104" s="87"/>
      <c r="N104" s="87"/>
      <c r="O104" s="87"/>
      <c r="P104" s="83"/>
      <c r="Q104" s="83"/>
      <c r="R104" s="83"/>
      <c r="S104" s="83"/>
      <c r="T104" s="83"/>
      <c r="U104" s="83"/>
      <c r="V104" s="83"/>
      <c r="W104" s="83"/>
      <c r="X104" s="83"/>
      <c r="Y104" s="83"/>
      <c r="Z104" s="83"/>
      <c r="AA104" s="83"/>
      <c r="AB104" s="83"/>
      <c r="AC104" s="83"/>
      <c r="AD104" s="83"/>
      <c r="AE104" s="83"/>
      <c r="AF104" s="83"/>
      <c r="AG104" s="83"/>
      <c r="AH104" s="83"/>
      <c r="AI104" s="83"/>
      <c r="AJ104" s="83"/>
      <c r="AK104" s="83"/>
      <c r="AL104" s="83"/>
      <c r="AM104" s="83"/>
      <c r="AN104" s="83"/>
      <c r="AO104" s="83"/>
      <c r="AP104" s="83"/>
      <c r="AQ104" s="83"/>
      <c r="AR104" s="83"/>
      <c r="AS104" s="83"/>
    </row>
    <row r="105" spans="1:45" x14ac:dyDescent="0.3">
      <c r="A105" s="80"/>
      <c r="B105" s="80"/>
      <c r="C105" s="80"/>
      <c r="D105" s="83"/>
      <c r="E105" s="116" t="s">
        <v>106</v>
      </c>
      <c r="F105" s="83"/>
      <c r="G105" s="79">
        <f>2391.66*List!B83/List!B76</f>
        <v>2598.9371999999994</v>
      </c>
      <c r="H105" s="112" t="s">
        <v>107</v>
      </c>
      <c r="I105" s="87"/>
      <c r="J105" s="87"/>
      <c r="K105" s="87"/>
      <c r="L105" s="87"/>
      <c r="M105" s="87"/>
      <c r="N105" s="87"/>
      <c r="O105" s="87"/>
      <c r="P105" s="83"/>
      <c r="Q105" s="83"/>
      <c r="R105" s="83"/>
      <c r="S105" s="83"/>
      <c r="T105" s="83"/>
      <c r="U105" s="83"/>
      <c r="V105" s="83"/>
      <c r="W105" s="83"/>
      <c r="X105" s="83"/>
      <c r="Y105" s="83"/>
      <c r="Z105" s="83"/>
      <c r="AA105" s="83"/>
      <c r="AB105" s="83"/>
      <c r="AC105" s="83"/>
      <c r="AD105" s="83"/>
      <c r="AE105" s="83"/>
      <c r="AF105" s="83"/>
      <c r="AG105" s="83"/>
      <c r="AH105" s="83"/>
      <c r="AI105" s="83"/>
      <c r="AJ105" s="83"/>
      <c r="AK105" s="83"/>
      <c r="AL105" s="83"/>
      <c r="AM105" s="83"/>
      <c r="AN105" s="83"/>
      <c r="AO105" s="83"/>
      <c r="AP105" s="83"/>
      <c r="AQ105" s="83"/>
      <c r="AR105" s="83"/>
      <c r="AS105" s="83"/>
    </row>
    <row r="106" spans="1:45" x14ac:dyDescent="0.3">
      <c r="A106" s="80"/>
      <c r="B106" s="80"/>
      <c r="C106" s="80"/>
      <c r="D106" s="83"/>
      <c r="E106" s="87"/>
      <c r="F106" s="87"/>
      <c r="G106" s="87"/>
      <c r="H106" s="87"/>
      <c r="I106" s="87"/>
      <c r="J106" s="87"/>
      <c r="K106" s="87"/>
      <c r="L106" s="87"/>
      <c r="M106" s="87"/>
      <c r="N106" s="87"/>
      <c r="O106" s="87"/>
      <c r="P106" s="83"/>
      <c r="Q106" s="83"/>
      <c r="R106" s="83"/>
      <c r="S106" s="83"/>
      <c r="T106" s="83"/>
      <c r="U106" s="83"/>
      <c r="V106" s="83"/>
      <c r="W106" s="83"/>
      <c r="X106" s="83"/>
      <c r="Y106" s="83"/>
      <c r="Z106" s="83"/>
      <c r="AA106" s="83"/>
      <c r="AB106" s="83"/>
      <c r="AC106" s="83"/>
      <c r="AD106" s="83"/>
      <c r="AE106" s="83"/>
      <c r="AF106" s="83"/>
      <c r="AG106" s="83"/>
      <c r="AH106" s="83"/>
      <c r="AI106" s="83"/>
      <c r="AJ106" s="83"/>
      <c r="AK106" s="83"/>
      <c r="AL106" s="83"/>
      <c r="AM106" s="83"/>
      <c r="AN106" s="83"/>
      <c r="AO106" s="83"/>
      <c r="AP106" s="83"/>
      <c r="AQ106" s="83"/>
      <c r="AR106" s="83"/>
      <c r="AS106" s="83"/>
    </row>
    <row r="107" spans="1:45" x14ac:dyDescent="0.3">
      <c r="A107" s="80"/>
      <c r="B107" s="80"/>
      <c r="C107" s="80"/>
      <c r="D107" s="83"/>
      <c r="E107" s="83"/>
      <c r="F107" s="83"/>
      <c r="G107" s="83"/>
      <c r="H107" s="83"/>
      <c r="I107" s="83"/>
      <c r="J107" s="83"/>
      <c r="K107" s="83"/>
      <c r="L107" s="83"/>
      <c r="M107" s="83"/>
      <c r="N107" s="83"/>
      <c r="O107" s="83"/>
      <c r="P107" s="83"/>
      <c r="Q107" s="83"/>
      <c r="R107" s="83"/>
      <c r="S107" s="83"/>
      <c r="T107" s="83"/>
      <c r="U107" s="83"/>
      <c r="V107" s="83"/>
      <c r="W107" s="83"/>
      <c r="X107" s="83"/>
      <c r="Y107" s="83"/>
      <c r="Z107" s="83"/>
      <c r="AA107" s="83"/>
      <c r="AB107" s="83"/>
      <c r="AC107" s="83"/>
      <c r="AD107" s="83"/>
      <c r="AE107" s="83"/>
      <c r="AF107" s="83"/>
      <c r="AG107" s="83"/>
      <c r="AH107" s="83"/>
      <c r="AI107" s="83"/>
      <c r="AJ107" s="83"/>
      <c r="AK107" s="83"/>
      <c r="AL107" s="83"/>
      <c r="AM107" s="83"/>
      <c r="AN107" s="83"/>
      <c r="AO107" s="83"/>
      <c r="AP107" s="83"/>
      <c r="AQ107" s="83"/>
      <c r="AR107" s="83"/>
      <c r="AS107" s="83"/>
    </row>
    <row r="108" spans="1:45" ht="28.8" x14ac:dyDescent="0.3">
      <c r="A108" s="80"/>
      <c r="B108" s="80"/>
      <c r="C108" s="80"/>
      <c r="D108" s="83"/>
      <c r="E108" s="92" t="s">
        <v>38</v>
      </c>
      <c r="F108" s="93" t="s">
        <v>108</v>
      </c>
      <c r="G108" s="93" t="s">
        <v>109</v>
      </c>
      <c r="H108" s="83"/>
      <c r="I108" s="83"/>
      <c r="J108" s="83"/>
      <c r="K108" s="83"/>
      <c r="L108" s="83"/>
      <c r="M108" s="83"/>
      <c r="N108" s="83"/>
      <c r="O108" s="83"/>
      <c r="P108" s="83"/>
      <c r="Q108" s="83"/>
      <c r="R108" s="83"/>
      <c r="S108" s="83"/>
      <c r="T108" s="83"/>
      <c r="U108" s="83"/>
      <c r="V108" s="83"/>
      <c r="W108" s="83"/>
      <c r="X108" s="83"/>
      <c r="Y108" s="83"/>
      <c r="Z108" s="83"/>
      <c r="AA108" s="83"/>
      <c r="AB108" s="83"/>
      <c r="AC108" s="83"/>
      <c r="AD108" s="83"/>
      <c r="AE108" s="83"/>
      <c r="AF108" s="83"/>
      <c r="AG108" s="83"/>
      <c r="AH108" s="83"/>
      <c r="AI108" s="83"/>
      <c r="AJ108" s="83"/>
      <c r="AK108" s="83"/>
      <c r="AL108" s="83"/>
      <c r="AM108" s="83"/>
      <c r="AN108" s="83"/>
      <c r="AO108" s="83"/>
      <c r="AP108" s="83"/>
      <c r="AQ108" s="83"/>
      <c r="AR108" s="83"/>
      <c r="AS108" s="83"/>
    </row>
    <row r="109" spans="1:45" x14ac:dyDescent="0.3">
      <c r="A109" s="80"/>
      <c r="B109" s="80"/>
      <c r="C109" s="80"/>
      <c r="D109" s="83"/>
      <c r="E109" s="87" t="str">
        <f t="shared" ref="E109:E114" si="1">E21</f>
        <v>Xydalba</v>
      </c>
      <c r="F109" s="126"/>
      <c r="G109" s="134"/>
      <c r="H109" s="83"/>
      <c r="I109" s="83"/>
      <c r="J109" s="83"/>
      <c r="K109" s="83"/>
      <c r="L109" s="83"/>
      <c r="M109" s="83"/>
      <c r="N109" s="83"/>
      <c r="O109" s="83"/>
      <c r="P109" s="83"/>
      <c r="Q109" s="83"/>
      <c r="R109" s="83"/>
      <c r="S109" s="83"/>
      <c r="T109" s="83"/>
      <c r="U109" s="83"/>
      <c r="V109" s="83"/>
      <c r="W109" s="83"/>
      <c r="X109" s="83"/>
      <c r="Y109" s="83"/>
      <c r="Z109" s="83"/>
      <c r="AA109" s="83"/>
      <c r="AB109" s="83"/>
      <c r="AC109" s="83"/>
      <c r="AD109" s="83"/>
      <c r="AE109" s="83"/>
      <c r="AF109" s="83"/>
      <c r="AG109" s="83"/>
      <c r="AH109" s="83"/>
      <c r="AI109" s="83"/>
      <c r="AJ109" s="83"/>
      <c r="AK109" s="83"/>
      <c r="AL109" s="83"/>
      <c r="AM109" s="83"/>
      <c r="AN109" s="83"/>
      <c r="AO109" s="83"/>
      <c r="AP109" s="83"/>
      <c r="AQ109" s="83"/>
      <c r="AR109" s="83"/>
      <c r="AS109" s="83"/>
    </row>
    <row r="110" spans="1:45" x14ac:dyDescent="0.3">
      <c r="A110" s="80"/>
      <c r="B110" s="80"/>
      <c r="C110" s="80"/>
      <c r="D110" s="83"/>
      <c r="E110" s="87" t="str">
        <f t="shared" si="1"/>
        <v>Vancomycin IV</v>
      </c>
      <c r="F110" s="126"/>
      <c r="G110" s="134"/>
      <c r="H110" s="83"/>
      <c r="I110" s="83"/>
      <c r="J110" s="83"/>
      <c r="K110" s="83"/>
      <c r="L110" s="83"/>
      <c r="M110" s="83"/>
      <c r="N110" s="83"/>
      <c r="O110" s="83"/>
      <c r="P110" s="83"/>
      <c r="Q110" s="83"/>
      <c r="R110" s="83"/>
      <c r="S110" s="83"/>
      <c r="T110" s="83"/>
      <c r="U110" s="83"/>
      <c r="V110" s="83"/>
      <c r="W110" s="83"/>
      <c r="X110" s="83"/>
      <c r="Y110" s="83"/>
      <c r="Z110" s="83"/>
      <c r="AA110" s="83"/>
      <c r="AB110" s="83"/>
      <c r="AC110" s="83"/>
      <c r="AD110" s="83"/>
      <c r="AE110" s="83"/>
      <c r="AF110" s="83"/>
      <c r="AG110" s="83"/>
      <c r="AH110" s="83"/>
      <c r="AI110" s="83"/>
      <c r="AJ110" s="83"/>
      <c r="AK110" s="83"/>
      <c r="AL110" s="83"/>
      <c r="AM110" s="83"/>
      <c r="AN110" s="83"/>
      <c r="AO110" s="83"/>
      <c r="AP110" s="83"/>
      <c r="AQ110" s="83"/>
      <c r="AR110" s="83"/>
      <c r="AS110" s="83"/>
    </row>
    <row r="111" spans="1:45" x14ac:dyDescent="0.3">
      <c r="A111" s="80"/>
      <c r="B111" s="80"/>
      <c r="C111" s="80"/>
      <c r="D111" s="83"/>
      <c r="E111" s="87" t="str">
        <f t="shared" si="1"/>
        <v>Linezolid IV</v>
      </c>
      <c r="F111" s="126"/>
      <c r="G111" s="134"/>
      <c r="H111" s="83"/>
      <c r="I111" s="83"/>
      <c r="J111" s="83"/>
      <c r="K111" s="83"/>
      <c r="L111" s="83"/>
      <c r="M111" s="83"/>
      <c r="N111" s="83"/>
      <c r="O111" s="83"/>
      <c r="P111" s="83"/>
      <c r="Q111" s="83"/>
      <c r="R111" s="83"/>
      <c r="S111" s="83"/>
      <c r="T111" s="83"/>
      <c r="U111" s="83"/>
      <c r="V111" s="83"/>
      <c r="W111" s="83"/>
      <c r="X111" s="83"/>
      <c r="Y111" s="83"/>
      <c r="Z111" s="83"/>
      <c r="AA111" s="83"/>
      <c r="AB111" s="83"/>
      <c r="AC111" s="83"/>
      <c r="AD111" s="83"/>
      <c r="AE111" s="83"/>
      <c r="AF111" s="83"/>
      <c r="AG111" s="83"/>
      <c r="AH111" s="83"/>
      <c r="AI111" s="83"/>
      <c r="AJ111" s="83"/>
      <c r="AK111" s="83"/>
      <c r="AL111" s="83"/>
      <c r="AM111" s="83"/>
      <c r="AN111" s="83"/>
      <c r="AO111" s="83"/>
      <c r="AP111" s="83"/>
      <c r="AQ111" s="83"/>
      <c r="AR111" s="83"/>
      <c r="AS111" s="83"/>
    </row>
    <row r="112" spans="1:45" x14ac:dyDescent="0.3">
      <c r="A112" s="80"/>
      <c r="B112" s="80"/>
      <c r="C112" s="80"/>
      <c r="D112" s="83"/>
      <c r="E112" s="87" t="str">
        <f t="shared" si="1"/>
        <v>Daptomycin</v>
      </c>
      <c r="F112" s="126"/>
      <c r="G112" s="134"/>
      <c r="H112" s="83"/>
      <c r="I112" s="83"/>
      <c r="J112" s="83"/>
      <c r="K112" s="83"/>
      <c r="L112" s="83"/>
      <c r="M112" s="83"/>
      <c r="N112" s="83"/>
      <c r="O112" s="83"/>
      <c r="P112" s="83"/>
      <c r="Q112" s="83"/>
      <c r="R112" s="83"/>
      <c r="S112" s="83"/>
      <c r="T112" s="83"/>
      <c r="U112" s="83"/>
      <c r="V112" s="83"/>
      <c r="W112" s="83"/>
      <c r="X112" s="83"/>
      <c r="Y112" s="83"/>
      <c r="Z112" s="83"/>
      <c r="AA112" s="83"/>
      <c r="AB112" s="83"/>
      <c r="AC112" s="83"/>
      <c r="AD112" s="83"/>
      <c r="AE112" s="83"/>
      <c r="AF112" s="83"/>
      <c r="AG112" s="83"/>
      <c r="AH112" s="83"/>
      <c r="AI112" s="83"/>
      <c r="AJ112" s="83"/>
      <c r="AK112" s="83"/>
      <c r="AL112" s="83"/>
      <c r="AM112" s="83"/>
      <c r="AN112" s="83"/>
      <c r="AO112" s="83"/>
      <c r="AP112" s="83"/>
      <c r="AQ112" s="83"/>
      <c r="AR112" s="83"/>
      <c r="AS112" s="83"/>
    </row>
    <row r="113" spans="1:45" x14ac:dyDescent="0.3">
      <c r="A113" s="80"/>
      <c r="B113" s="80"/>
      <c r="C113" s="80"/>
      <c r="D113" s="83"/>
      <c r="E113" s="87" t="str">
        <f t="shared" si="1"/>
        <v>Cefazolin IV</v>
      </c>
      <c r="F113" s="126"/>
      <c r="G113" s="134"/>
      <c r="H113" s="83"/>
      <c r="I113" s="83"/>
      <c r="J113" s="83"/>
      <c r="K113" s="83"/>
      <c r="L113" s="83"/>
      <c r="M113" s="83"/>
      <c r="N113" s="83"/>
      <c r="O113" s="83"/>
      <c r="P113" s="83"/>
      <c r="Q113" s="83"/>
      <c r="R113" s="83"/>
      <c r="S113" s="83"/>
      <c r="T113" s="83"/>
      <c r="U113" s="83"/>
      <c r="V113" s="83"/>
      <c r="W113" s="83"/>
      <c r="X113" s="83"/>
      <c r="Y113" s="83"/>
      <c r="Z113" s="83"/>
      <c r="AA113" s="83"/>
      <c r="AB113" s="83"/>
      <c r="AC113" s="83"/>
      <c r="AD113" s="83"/>
      <c r="AE113" s="83"/>
      <c r="AF113" s="83"/>
      <c r="AG113" s="83"/>
      <c r="AH113" s="83"/>
      <c r="AI113" s="83"/>
      <c r="AJ113" s="83"/>
      <c r="AK113" s="83"/>
      <c r="AL113" s="83"/>
      <c r="AM113" s="83"/>
      <c r="AN113" s="83"/>
      <c r="AO113" s="83"/>
      <c r="AP113" s="83"/>
      <c r="AQ113" s="83"/>
      <c r="AR113" s="83"/>
      <c r="AS113" s="83"/>
    </row>
    <row r="114" spans="1:45" x14ac:dyDescent="0.3">
      <c r="A114" s="80"/>
      <c r="B114" s="80"/>
      <c r="C114" s="80"/>
      <c r="D114" s="83"/>
      <c r="E114" s="87" t="str">
        <f t="shared" si="1"/>
        <v>Ceftriaxone IV</v>
      </c>
      <c r="F114" s="126"/>
      <c r="G114" s="134"/>
      <c r="H114" s="83"/>
      <c r="I114" s="83"/>
      <c r="J114" s="83"/>
      <c r="K114" s="83"/>
      <c r="L114" s="83"/>
      <c r="M114" s="83"/>
      <c r="N114" s="83"/>
      <c r="O114" s="83"/>
      <c r="P114" s="83"/>
      <c r="Q114" s="83"/>
      <c r="R114" s="83"/>
      <c r="S114" s="83"/>
      <c r="T114" s="83"/>
      <c r="U114" s="83"/>
      <c r="V114" s="83"/>
      <c r="W114" s="83"/>
      <c r="X114" s="83"/>
      <c r="Y114" s="83"/>
      <c r="Z114" s="83"/>
      <c r="AA114" s="83"/>
      <c r="AB114" s="83"/>
      <c r="AC114" s="83"/>
      <c r="AD114" s="83"/>
      <c r="AE114" s="83"/>
      <c r="AF114" s="83"/>
      <c r="AG114" s="83"/>
      <c r="AH114" s="83"/>
      <c r="AI114" s="83"/>
      <c r="AJ114" s="83"/>
      <c r="AK114" s="83"/>
      <c r="AL114" s="83"/>
      <c r="AM114" s="83"/>
      <c r="AN114" s="83"/>
      <c r="AO114" s="83"/>
      <c r="AP114" s="83"/>
      <c r="AQ114" s="83"/>
      <c r="AR114" s="83"/>
      <c r="AS114" s="83"/>
    </row>
    <row r="115" spans="1:45" x14ac:dyDescent="0.3">
      <c r="A115" s="80"/>
      <c r="B115" s="80"/>
      <c r="C115" s="80"/>
      <c r="D115" s="83"/>
      <c r="E115" s="117" t="str">
        <f>"Source or assumption for length of stay: "&amp;F16</f>
        <v>Source or assumption for length of stay: Xydalba: no hospitalisation; Comparators: hospital length of stay is set equal to the length of antibiotic treatment</v>
      </c>
      <c r="F115" s="83"/>
      <c r="G115" s="83"/>
      <c r="H115" s="83"/>
      <c r="I115" s="83"/>
      <c r="J115" s="83"/>
      <c r="K115" s="83"/>
      <c r="L115" s="83"/>
      <c r="M115" s="83"/>
      <c r="N115" s="83"/>
      <c r="O115" s="83"/>
      <c r="P115" s="83"/>
      <c r="Q115" s="83"/>
      <c r="R115" s="83"/>
      <c r="S115" s="83"/>
      <c r="T115" s="83"/>
      <c r="U115" s="83"/>
      <c r="V115" s="83"/>
      <c r="W115" s="83"/>
      <c r="X115" s="83"/>
      <c r="Y115" s="83"/>
      <c r="Z115" s="83"/>
      <c r="AA115" s="83"/>
      <c r="AB115" s="83"/>
      <c r="AC115" s="83"/>
      <c r="AD115" s="83"/>
      <c r="AE115" s="83"/>
      <c r="AF115" s="83"/>
      <c r="AG115" s="83"/>
      <c r="AH115" s="83"/>
      <c r="AI115" s="83"/>
      <c r="AJ115" s="83"/>
      <c r="AK115" s="83"/>
      <c r="AL115" s="83"/>
      <c r="AM115" s="83"/>
      <c r="AN115" s="83"/>
      <c r="AO115" s="83"/>
      <c r="AP115" s="83"/>
      <c r="AQ115" s="83"/>
      <c r="AR115" s="83"/>
      <c r="AS115" s="83"/>
    </row>
    <row r="116" spans="1:45" x14ac:dyDescent="0.3">
      <c r="A116" s="80"/>
      <c r="B116" s="80"/>
      <c r="C116" s="80"/>
      <c r="D116" s="83"/>
      <c r="E116" s="83"/>
      <c r="F116" s="83"/>
      <c r="G116" s="83"/>
      <c r="H116" s="83"/>
      <c r="I116" s="83"/>
      <c r="J116" s="83"/>
      <c r="K116" s="83"/>
      <c r="L116" s="83"/>
      <c r="M116" s="83"/>
      <c r="N116" s="83"/>
      <c r="O116" s="83"/>
      <c r="P116" s="83"/>
      <c r="Q116" s="83"/>
      <c r="R116" s="83"/>
      <c r="S116" s="83"/>
      <c r="T116" s="83"/>
      <c r="U116" s="83"/>
      <c r="V116" s="83"/>
      <c r="W116" s="83"/>
      <c r="X116" s="83"/>
      <c r="Y116" s="83"/>
      <c r="Z116" s="83"/>
      <c r="AA116" s="83"/>
      <c r="AB116" s="83"/>
      <c r="AC116" s="83"/>
      <c r="AD116" s="83"/>
      <c r="AE116" s="83"/>
      <c r="AF116" s="83"/>
      <c r="AG116" s="83"/>
      <c r="AH116" s="83"/>
      <c r="AI116" s="83"/>
      <c r="AJ116" s="83"/>
      <c r="AK116" s="83"/>
      <c r="AL116" s="83"/>
      <c r="AM116" s="83"/>
      <c r="AN116" s="83"/>
      <c r="AO116" s="83"/>
      <c r="AP116" s="83"/>
      <c r="AQ116" s="83"/>
      <c r="AR116" s="83"/>
      <c r="AS116" s="83"/>
    </row>
    <row r="117" spans="1:45" x14ac:dyDescent="0.3">
      <c r="A117" s="80"/>
      <c r="B117" s="80"/>
      <c r="C117" s="80"/>
      <c r="D117" s="83"/>
      <c r="E117" s="83"/>
      <c r="F117" s="83"/>
      <c r="G117" s="83"/>
      <c r="H117" s="83"/>
      <c r="I117" s="83"/>
      <c r="J117" s="83"/>
      <c r="K117" s="83"/>
      <c r="L117" s="83"/>
      <c r="M117" s="83"/>
      <c r="N117" s="83"/>
      <c r="O117" s="83"/>
      <c r="P117" s="83"/>
      <c r="Q117" s="83"/>
      <c r="R117" s="83"/>
      <c r="S117" s="83"/>
      <c r="T117" s="83"/>
      <c r="U117" s="83"/>
      <c r="V117" s="83"/>
      <c r="W117" s="83"/>
      <c r="X117" s="83"/>
      <c r="Y117" s="83"/>
      <c r="Z117" s="83"/>
      <c r="AA117" s="83"/>
      <c r="AB117" s="83"/>
      <c r="AC117" s="83"/>
      <c r="AD117" s="83"/>
      <c r="AE117" s="83"/>
      <c r="AF117" s="83"/>
      <c r="AG117" s="83"/>
      <c r="AH117" s="83"/>
      <c r="AI117" s="83"/>
      <c r="AJ117" s="83"/>
      <c r="AK117" s="83"/>
      <c r="AL117" s="83"/>
      <c r="AM117" s="83"/>
      <c r="AN117" s="83"/>
      <c r="AO117" s="83"/>
      <c r="AP117" s="83"/>
      <c r="AQ117" s="83"/>
      <c r="AR117" s="83"/>
      <c r="AS117" s="83"/>
    </row>
    <row r="118" spans="1:45" x14ac:dyDescent="0.3">
      <c r="A118" s="80"/>
      <c r="B118" s="80"/>
      <c r="C118" s="80"/>
      <c r="D118" s="83"/>
      <c r="E118" s="83"/>
      <c r="F118" s="83"/>
      <c r="G118" s="83"/>
      <c r="H118" s="83"/>
      <c r="I118" s="83"/>
      <c r="J118" s="83"/>
      <c r="K118" s="83"/>
      <c r="L118" s="83"/>
      <c r="M118" s="83"/>
      <c r="N118" s="83"/>
      <c r="O118" s="83"/>
      <c r="P118" s="83"/>
      <c r="Q118" s="83"/>
      <c r="R118" s="83"/>
      <c r="S118" s="83"/>
      <c r="T118" s="83"/>
      <c r="U118" s="83"/>
      <c r="V118" s="83"/>
      <c r="W118" s="83"/>
      <c r="X118" s="83"/>
      <c r="Y118" s="83"/>
      <c r="Z118" s="83"/>
      <c r="AA118" s="83"/>
      <c r="AB118" s="83"/>
      <c r="AC118" s="83"/>
      <c r="AD118" s="83"/>
      <c r="AE118" s="83"/>
      <c r="AF118" s="83"/>
      <c r="AG118" s="83"/>
      <c r="AH118" s="83"/>
      <c r="AI118" s="83"/>
      <c r="AJ118" s="83"/>
      <c r="AK118" s="83"/>
      <c r="AL118" s="83"/>
      <c r="AM118" s="83"/>
      <c r="AN118" s="83"/>
      <c r="AO118" s="83"/>
      <c r="AP118" s="83"/>
      <c r="AQ118" s="83"/>
      <c r="AR118" s="83"/>
      <c r="AS118" s="83"/>
    </row>
    <row r="119" spans="1:45" ht="18.600000000000001" thickBot="1" x14ac:dyDescent="0.4">
      <c r="A119" s="80"/>
      <c r="B119" s="80"/>
      <c r="C119" s="80"/>
      <c r="D119" s="83"/>
      <c r="E119" s="85" t="s">
        <v>110</v>
      </c>
      <c r="F119" s="86"/>
      <c r="G119" s="86"/>
      <c r="H119" s="86"/>
      <c r="I119" s="86"/>
      <c r="J119" s="86"/>
      <c r="K119" s="86"/>
      <c r="L119" s="86"/>
      <c r="M119" s="86"/>
      <c r="N119" s="86"/>
      <c r="O119" s="86"/>
      <c r="P119" s="86"/>
      <c r="Q119" s="86"/>
      <c r="R119" s="86"/>
      <c r="S119" s="86"/>
      <c r="T119" s="86"/>
      <c r="U119" s="86"/>
      <c r="V119" s="86"/>
      <c r="W119" s="86"/>
      <c r="X119" s="86"/>
      <c r="Y119" s="86"/>
      <c r="Z119" s="86"/>
      <c r="AA119" s="86"/>
      <c r="AB119" s="86"/>
      <c r="AC119" s="86"/>
      <c r="AD119" s="86"/>
      <c r="AE119" s="86"/>
      <c r="AF119" s="86"/>
      <c r="AG119" s="86"/>
      <c r="AH119" s="86"/>
      <c r="AI119" s="86"/>
      <c r="AJ119" s="86"/>
      <c r="AK119" s="86"/>
      <c r="AL119" s="86"/>
      <c r="AM119" s="86"/>
      <c r="AN119" s="86"/>
      <c r="AO119" s="86"/>
      <c r="AP119" s="86"/>
      <c r="AQ119" s="86"/>
      <c r="AR119" s="86"/>
      <c r="AS119" s="86"/>
    </row>
    <row r="120" spans="1:45" x14ac:dyDescent="0.3">
      <c r="A120" s="80"/>
      <c r="B120" s="80"/>
      <c r="C120" s="80"/>
      <c r="D120" s="83"/>
      <c r="E120" s="83"/>
      <c r="F120" s="83"/>
      <c r="G120" s="83"/>
      <c r="H120" s="83"/>
      <c r="I120" s="83"/>
      <c r="J120" s="83"/>
      <c r="K120" s="83"/>
      <c r="L120" s="83"/>
      <c r="M120" s="83"/>
      <c r="N120" s="83"/>
      <c r="O120" s="83"/>
      <c r="P120" s="83"/>
      <c r="Q120" s="83"/>
      <c r="R120" s="83"/>
      <c r="S120" s="83"/>
      <c r="T120" s="83"/>
      <c r="U120" s="83"/>
      <c r="V120" s="83"/>
      <c r="W120" s="83"/>
      <c r="X120" s="83"/>
      <c r="Y120" s="83"/>
      <c r="Z120" s="83"/>
      <c r="AA120" s="83"/>
      <c r="AB120" s="83"/>
      <c r="AC120" s="83"/>
      <c r="AD120" s="83"/>
      <c r="AE120" s="83"/>
      <c r="AF120" s="83"/>
      <c r="AG120" s="83"/>
      <c r="AH120" s="83"/>
      <c r="AI120" s="83"/>
      <c r="AJ120" s="83"/>
      <c r="AK120" s="83"/>
      <c r="AL120" s="83"/>
      <c r="AM120" s="83"/>
      <c r="AN120" s="83"/>
      <c r="AO120" s="83"/>
      <c r="AP120" s="83"/>
      <c r="AQ120" s="83"/>
      <c r="AR120" s="83"/>
      <c r="AS120" s="83"/>
    </row>
    <row r="121" spans="1:45" x14ac:dyDescent="0.3">
      <c r="A121" s="80"/>
      <c r="B121" s="80"/>
      <c r="C121" s="80"/>
      <c r="D121" s="83"/>
      <c r="E121" s="83"/>
      <c r="F121" s="83"/>
      <c r="G121" s="83"/>
      <c r="H121" s="83"/>
      <c r="I121" s="83"/>
      <c r="J121" s="83"/>
      <c r="K121" s="83"/>
      <c r="L121" s="83"/>
      <c r="M121" s="83"/>
      <c r="N121" s="83"/>
      <c r="O121" s="83"/>
      <c r="P121" s="83"/>
      <c r="Q121" s="83"/>
      <c r="R121" s="83"/>
      <c r="S121" s="83"/>
      <c r="T121" s="83"/>
      <c r="U121" s="83"/>
      <c r="V121" s="83"/>
      <c r="W121" s="83"/>
      <c r="X121" s="83"/>
      <c r="Y121" s="83"/>
      <c r="Z121" s="83"/>
      <c r="AA121" s="83"/>
      <c r="AB121" s="83"/>
      <c r="AC121" s="83"/>
      <c r="AD121" s="83"/>
      <c r="AE121" s="83"/>
      <c r="AF121" s="83"/>
      <c r="AG121" s="83"/>
      <c r="AH121" s="83"/>
      <c r="AI121" s="83"/>
      <c r="AJ121" s="83"/>
      <c r="AK121" s="83"/>
      <c r="AL121" s="83"/>
      <c r="AM121" s="83"/>
      <c r="AN121" s="83"/>
      <c r="AO121" s="83"/>
      <c r="AP121" s="83"/>
      <c r="AQ121" s="83"/>
      <c r="AR121" s="83"/>
      <c r="AS121" s="83"/>
    </row>
    <row r="122" spans="1:45" x14ac:dyDescent="0.3">
      <c r="A122" s="80"/>
      <c r="B122" s="80"/>
      <c r="C122" s="80"/>
      <c r="D122" s="83"/>
      <c r="E122" s="83" t="s">
        <v>111</v>
      </c>
      <c r="F122" s="78">
        <f>49.02*List!B83/List!B73</f>
        <v>62.696024411508276</v>
      </c>
      <c r="G122" s="83" t="s">
        <v>112</v>
      </c>
      <c r="H122" s="83"/>
      <c r="I122" s="83"/>
      <c r="J122" s="83"/>
      <c r="K122" s="83"/>
      <c r="L122" s="83"/>
      <c r="M122" s="83"/>
      <c r="N122" s="83"/>
      <c r="O122" s="83"/>
      <c r="P122" s="83"/>
      <c r="Q122" s="83"/>
      <c r="R122" s="83"/>
      <c r="S122" s="83"/>
      <c r="T122" s="83"/>
      <c r="U122" s="83"/>
      <c r="V122" s="83"/>
      <c r="W122" s="83"/>
      <c r="X122" s="83"/>
      <c r="Y122" s="83"/>
      <c r="Z122" s="83"/>
      <c r="AA122" s="83"/>
      <c r="AB122" s="83"/>
      <c r="AC122" s="83"/>
      <c r="AD122" s="83"/>
      <c r="AE122" s="83"/>
      <c r="AF122" s="83"/>
      <c r="AG122" s="83"/>
      <c r="AH122" s="83"/>
      <c r="AI122" s="83"/>
      <c r="AJ122" s="83"/>
      <c r="AK122" s="83"/>
      <c r="AL122" s="83"/>
      <c r="AM122" s="83"/>
      <c r="AN122" s="83"/>
      <c r="AO122" s="83"/>
      <c r="AP122" s="83"/>
      <c r="AQ122" s="83"/>
      <c r="AR122" s="83"/>
      <c r="AS122" s="83"/>
    </row>
    <row r="123" spans="1:45" x14ac:dyDescent="0.3">
      <c r="A123" s="80"/>
      <c r="B123" s="80"/>
      <c r="C123" s="80"/>
      <c r="D123" s="83"/>
      <c r="E123" s="83" t="s">
        <v>113</v>
      </c>
      <c r="F123" s="78">
        <f>22.14*List!B83/List!B73</f>
        <v>28.316809067131643</v>
      </c>
      <c r="G123" s="83" t="str">
        <f>G122</f>
        <v>Source: Pettigrew et al. 2012, adjusted to 2022</v>
      </c>
      <c r="H123" s="83"/>
      <c r="I123" s="83"/>
      <c r="J123" s="83"/>
      <c r="K123" s="83"/>
      <c r="L123" s="83"/>
      <c r="M123" s="83"/>
      <c r="N123" s="83"/>
      <c r="O123" s="83"/>
      <c r="P123" s="83"/>
      <c r="Q123" s="83"/>
      <c r="R123" s="83"/>
      <c r="S123" s="83"/>
      <c r="T123" s="83"/>
      <c r="U123" s="83"/>
      <c r="V123" s="83"/>
      <c r="W123" s="83"/>
      <c r="X123" s="83"/>
      <c r="Y123" s="83"/>
      <c r="Z123" s="83"/>
      <c r="AA123" s="83"/>
      <c r="AB123" s="83"/>
      <c r="AC123" s="83"/>
      <c r="AD123" s="83"/>
      <c r="AE123" s="83"/>
      <c r="AF123" s="83"/>
      <c r="AG123" s="83"/>
      <c r="AH123" s="83"/>
      <c r="AI123" s="83"/>
      <c r="AJ123" s="83"/>
      <c r="AK123" s="83"/>
      <c r="AL123" s="83"/>
      <c r="AM123" s="83"/>
      <c r="AN123" s="83"/>
      <c r="AO123" s="83"/>
      <c r="AP123" s="83"/>
      <c r="AQ123" s="83"/>
      <c r="AR123" s="83"/>
      <c r="AS123" s="83"/>
    </row>
    <row r="124" spans="1:45" x14ac:dyDescent="0.3">
      <c r="A124" s="80"/>
      <c r="B124" s="80"/>
      <c r="C124" s="80"/>
      <c r="D124" s="83"/>
      <c r="E124" s="83" t="s">
        <v>114</v>
      </c>
      <c r="F124" s="78">
        <f>36.59*List!B83/List!B74</f>
        <v>42.50002375296912</v>
      </c>
      <c r="G124" s="118" t="s">
        <v>115</v>
      </c>
      <c r="H124" s="83"/>
      <c r="I124" s="83"/>
      <c r="J124" s="83"/>
      <c r="K124" s="83"/>
      <c r="L124" s="83"/>
      <c r="M124" s="83"/>
      <c r="N124" s="83"/>
      <c r="O124" s="83"/>
      <c r="P124" s="83"/>
      <c r="Q124" s="83"/>
      <c r="R124" s="83"/>
      <c r="S124" s="83"/>
      <c r="T124" s="83"/>
      <c r="U124" s="83"/>
      <c r="V124" s="83"/>
      <c r="W124" s="83"/>
      <c r="X124" s="83"/>
      <c r="Y124" s="83"/>
      <c r="Z124" s="83"/>
      <c r="AA124" s="83"/>
      <c r="AB124" s="83"/>
      <c r="AC124" s="83"/>
      <c r="AD124" s="83"/>
      <c r="AE124" s="83"/>
      <c r="AF124" s="83"/>
      <c r="AG124" s="83"/>
      <c r="AH124" s="83"/>
      <c r="AI124" s="83"/>
      <c r="AJ124" s="83"/>
      <c r="AK124" s="83"/>
      <c r="AL124" s="83"/>
      <c r="AM124" s="83"/>
      <c r="AN124" s="83"/>
      <c r="AO124" s="83"/>
      <c r="AP124" s="83"/>
      <c r="AQ124" s="83"/>
      <c r="AR124" s="83"/>
      <c r="AS124" s="83"/>
    </row>
    <row r="125" spans="1:45" x14ac:dyDescent="0.3">
      <c r="A125" s="80"/>
      <c r="B125" s="80"/>
      <c r="C125" s="80"/>
      <c r="D125" s="83"/>
      <c r="E125" s="83"/>
      <c r="F125" s="83"/>
      <c r="G125" s="83"/>
      <c r="H125" s="83"/>
      <c r="I125" s="83"/>
      <c r="J125" s="83"/>
      <c r="K125" s="83"/>
      <c r="L125" s="83"/>
      <c r="M125" s="83"/>
      <c r="N125" s="83"/>
      <c r="O125" s="83"/>
      <c r="P125" s="83"/>
      <c r="Q125" s="83"/>
      <c r="R125" s="83"/>
      <c r="S125" s="83"/>
      <c r="T125" s="83"/>
      <c r="U125" s="83"/>
      <c r="V125" s="83"/>
      <c r="W125" s="83"/>
      <c r="X125" s="83"/>
      <c r="Y125" s="83"/>
      <c r="Z125" s="83"/>
      <c r="AA125" s="83"/>
      <c r="AB125" s="83"/>
      <c r="AC125" s="83"/>
      <c r="AD125" s="83"/>
      <c r="AE125" s="83"/>
      <c r="AF125" s="83"/>
      <c r="AG125" s="83"/>
      <c r="AH125" s="83"/>
      <c r="AI125" s="83"/>
      <c r="AJ125" s="83"/>
      <c r="AK125" s="83"/>
      <c r="AL125" s="83"/>
      <c r="AM125" s="83"/>
      <c r="AN125" s="83"/>
      <c r="AO125" s="83"/>
      <c r="AP125" s="83"/>
      <c r="AQ125" s="83"/>
      <c r="AR125" s="83"/>
      <c r="AS125" s="83"/>
    </row>
    <row r="126" spans="1:45" x14ac:dyDescent="0.3">
      <c r="A126" s="80"/>
      <c r="B126" s="80"/>
      <c r="C126" s="80"/>
      <c r="D126" s="83"/>
      <c r="E126" s="83"/>
      <c r="F126" s="83"/>
      <c r="G126" s="83"/>
      <c r="H126" s="83"/>
      <c r="I126" s="83"/>
      <c r="J126" s="83"/>
      <c r="K126" s="83"/>
      <c r="L126" s="83"/>
      <c r="M126" s="83"/>
      <c r="N126" s="83"/>
      <c r="O126" s="83"/>
      <c r="P126" s="83"/>
      <c r="Q126" s="83"/>
      <c r="R126" s="83"/>
      <c r="S126" s="83"/>
      <c r="T126" s="83"/>
      <c r="U126" s="83"/>
      <c r="V126" s="83"/>
      <c r="W126" s="83"/>
      <c r="X126" s="83"/>
      <c r="Y126" s="83"/>
      <c r="Z126" s="83"/>
      <c r="AA126" s="83"/>
      <c r="AB126" s="83"/>
      <c r="AC126" s="83"/>
      <c r="AD126" s="83"/>
      <c r="AE126" s="83"/>
      <c r="AF126" s="83"/>
      <c r="AG126" s="83"/>
      <c r="AH126" s="83"/>
      <c r="AI126" s="83"/>
      <c r="AJ126" s="83"/>
      <c r="AK126" s="83"/>
      <c r="AL126" s="83"/>
      <c r="AM126" s="83"/>
      <c r="AN126" s="83"/>
      <c r="AO126" s="83"/>
      <c r="AP126" s="83"/>
      <c r="AQ126" s="83"/>
      <c r="AR126" s="83"/>
      <c r="AS126" s="83"/>
    </row>
    <row r="127" spans="1:45" ht="14.4" customHeight="1" x14ac:dyDescent="0.3">
      <c r="A127" s="80"/>
      <c r="B127" s="80"/>
      <c r="C127" s="80"/>
      <c r="D127" s="83"/>
      <c r="E127" s="83"/>
      <c r="F127" s="192" t="s">
        <v>116</v>
      </c>
      <c r="G127" s="192"/>
      <c r="H127" s="192"/>
      <c r="I127" s="192"/>
      <c r="J127" s="119"/>
      <c r="K127" s="83"/>
      <c r="L127" s="83"/>
      <c r="M127" s="83"/>
      <c r="N127" s="83"/>
      <c r="O127" s="83"/>
      <c r="P127" s="83"/>
      <c r="Q127" s="83"/>
      <c r="R127" s="83"/>
      <c r="S127" s="83"/>
      <c r="T127" s="83"/>
      <c r="U127" s="83"/>
      <c r="V127" s="83"/>
      <c r="W127" s="83"/>
      <c r="X127" s="83"/>
      <c r="Y127" s="83"/>
      <c r="Z127" s="83"/>
      <c r="AA127" s="83"/>
      <c r="AB127" s="83"/>
      <c r="AC127" s="83"/>
      <c r="AD127" s="83"/>
      <c r="AE127" s="83"/>
      <c r="AF127" s="83"/>
      <c r="AG127" s="83"/>
      <c r="AH127" s="83"/>
      <c r="AI127" s="83"/>
      <c r="AJ127" s="83"/>
      <c r="AK127" s="83"/>
      <c r="AL127" s="83"/>
      <c r="AM127" s="83"/>
      <c r="AN127" s="83"/>
      <c r="AO127" s="83"/>
      <c r="AP127" s="83"/>
      <c r="AQ127" s="83"/>
      <c r="AR127" s="83"/>
      <c r="AS127" s="83"/>
    </row>
    <row r="128" spans="1:45" ht="31.35" customHeight="1" x14ac:dyDescent="0.3">
      <c r="A128" s="80"/>
      <c r="B128" s="80"/>
      <c r="C128" s="80"/>
      <c r="D128" s="83"/>
      <c r="E128" s="83"/>
      <c r="F128" s="191" t="s">
        <v>117</v>
      </c>
      <c r="G128" s="191"/>
      <c r="H128" s="120" t="s">
        <v>118</v>
      </c>
      <c r="I128" s="121" t="s">
        <v>119</v>
      </c>
      <c r="J128" s="83"/>
      <c r="K128" s="83"/>
      <c r="L128" s="83"/>
      <c r="M128" s="83"/>
      <c r="N128" s="83"/>
      <c r="O128" s="83"/>
      <c r="P128" s="83"/>
      <c r="Q128" s="83"/>
      <c r="R128" s="83"/>
      <c r="S128" s="83"/>
      <c r="T128" s="83"/>
      <c r="U128" s="83"/>
      <c r="V128" s="83"/>
      <c r="W128" s="83"/>
      <c r="X128" s="83"/>
      <c r="Y128" s="83"/>
      <c r="Z128" s="83"/>
      <c r="AA128" s="83"/>
      <c r="AB128" s="83"/>
      <c r="AC128" s="83"/>
      <c r="AD128" s="83"/>
      <c r="AE128" s="83"/>
      <c r="AF128" s="83"/>
      <c r="AG128" s="83"/>
      <c r="AH128" s="83"/>
      <c r="AI128" s="83"/>
      <c r="AJ128" s="83"/>
      <c r="AK128" s="83"/>
      <c r="AL128" s="83"/>
      <c r="AM128" s="83"/>
      <c r="AN128" s="83"/>
      <c r="AO128" s="83"/>
      <c r="AP128" s="83"/>
      <c r="AQ128" s="83"/>
      <c r="AR128" s="83"/>
    </row>
    <row r="129" spans="1:47" ht="28.8" x14ac:dyDescent="0.3">
      <c r="A129" s="80"/>
      <c r="B129" s="80"/>
      <c r="C129" s="80"/>
      <c r="D129" s="83"/>
      <c r="E129" s="108" t="s">
        <v>38</v>
      </c>
      <c r="F129" s="122" t="s">
        <v>120</v>
      </c>
      <c r="G129" s="98" t="s">
        <v>121</v>
      </c>
      <c r="H129" s="122" t="s">
        <v>122</v>
      </c>
      <c r="I129" s="98" t="s">
        <v>123</v>
      </c>
      <c r="J129" s="83"/>
      <c r="K129" s="83"/>
      <c r="L129" s="83"/>
      <c r="M129" s="83"/>
      <c r="N129" s="83"/>
      <c r="O129" s="83"/>
      <c r="P129" s="83"/>
      <c r="Q129" s="83"/>
      <c r="R129" s="83"/>
      <c r="S129" s="83"/>
      <c r="T129" s="83"/>
      <c r="U129" s="83"/>
      <c r="V129" s="83"/>
      <c r="W129" s="83"/>
      <c r="X129" s="83"/>
      <c r="Y129" s="83"/>
      <c r="Z129" s="83"/>
      <c r="AA129" s="83"/>
      <c r="AB129" s="83"/>
      <c r="AC129" s="83"/>
      <c r="AD129" s="83"/>
      <c r="AE129" s="83"/>
      <c r="AF129" s="83"/>
      <c r="AG129" s="83"/>
      <c r="AH129" s="83"/>
      <c r="AI129" s="83"/>
      <c r="AJ129" s="83"/>
      <c r="AK129" s="83"/>
      <c r="AL129" s="83"/>
      <c r="AM129" s="83"/>
      <c r="AN129" s="83"/>
      <c r="AO129" s="83"/>
      <c r="AP129" s="83"/>
      <c r="AQ129" s="83"/>
      <c r="AR129" s="83"/>
      <c r="AS129" s="83"/>
      <c r="AT129" s="83"/>
      <c r="AU129" s="83"/>
    </row>
    <row r="130" spans="1:47" x14ac:dyDescent="0.3">
      <c r="A130" s="80"/>
      <c r="B130" s="80"/>
      <c r="C130" s="80"/>
      <c r="D130" s="83"/>
      <c r="E130" s="83" t="str">
        <f t="shared" ref="E130:E136" si="2">E21</f>
        <v>Xydalba</v>
      </c>
      <c r="F130" s="73">
        <v>5</v>
      </c>
      <c r="G130" s="73" t="s">
        <v>124</v>
      </c>
      <c r="H130" s="73">
        <v>10</v>
      </c>
      <c r="I130" s="73">
        <v>5</v>
      </c>
      <c r="J130" s="84" t="s">
        <v>125</v>
      </c>
      <c r="K130" s="83"/>
      <c r="L130" s="83"/>
      <c r="M130" s="83"/>
      <c r="N130" s="83"/>
      <c r="O130" s="83"/>
      <c r="P130" s="83"/>
      <c r="Q130" s="83"/>
      <c r="R130" s="83"/>
      <c r="S130" s="83"/>
      <c r="T130" s="83"/>
      <c r="U130" s="83"/>
      <c r="V130" s="83"/>
      <c r="W130" s="83"/>
      <c r="X130" s="83"/>
      <c r="Y130" s="83"/>
      <c r="Z130" s="83"/>
      <c r="AA130" s="83"/>
      <c r="AB130" s="83"/>
      <c r="AC130" s="83"/>
      <c r="AD130" s="83"/>
      <c r="AE130" s="83"/>
      <c r="AF130" s="83"/>
      <c r="AG130" s="83"/>
      <c r="AH130" s="83"/>
      <c r="AI130" s="83"/>
      <c r="AJ130" s="83"/>
      <c r="AK130" s="83"/>
      <c r="AL130" s="83"/>
      <c r="AM130" s="83"/>
      <c r="AN130" s="83"/>
      <c r="AO130" s="83"/>
      <c r="AP130" s="83"/>
      <c r="AQ130" s="83"/>
      <c r="AR130" s="83"/>
      <c r="AS130" s="83"/>
      <c r="AT130" s="83"/>
      <c r="AU130" s="83"/>
    </row>
    <row r="131" spans="1:47" x14ac:dyDescent="0.3">
      <c r="A131" s="80"/>
      <c r="B131" s="80"/>
      <c r="C131" s="80"/>
      <c r="D131" s="83"/>
      <c r="E131" s="83" t="str">
        <f t="shared" si="2"/>
        <v>Vancomycin IV</v>
      </c>
      <c r="F131" s="73">
        <v>20</v>
      </c>
      <c r="G131" s="73">
        <f>10/3</f>
        <v>3.3333333333333335</v>
      </c>
      <c r="H131" s="73">
        <f>10*G47</f>
        <v>20</v>
      </c>
      <c r="I131" s="73">
        <f>5*G47</f>
        <v>10</v>
      </c>
      <c r="J131" s="84" t="s">
        <v>126</v>
      </c>
      <c r="K131" s="83"/>
      <c r="L131" s="83"/>
      <c r="M131" s="83"/>
      <c r="N131" s="83"/>
      <c r="O131" s="83"/>
      <c r="P131" s="83"/>
      <c r="Q131" s="83"/>
      <c r="R131" s="83"/>
      <c r="S131" s="83"/>
      <c r="T131" s="83"/>
      <c r="U131" s="83"/>
      <c r="V131" s="83"/>
      <c r="W131" s="83"/>
      <c r="X131" s="83"/>
      <c r="Y131" s="83"/>
      <c r="Z131" s="83"/>
      <c r="AA131" s="83"/>
      <c r="AB131" s="83"/>
      <c r="AC131" s="83"/>
      <c r="AD131" s="83"/>
      <c r="AE131" s="83"/>
      <c r="AF131" s="83"/>
      <c r="AG131" s="83"/>
      <c r="AH131" s="83"/>
      <c r="AI131" s="83"/>
      <c r="AJ131" s="83"/>
      <c r="AK131" s="83"/>
      <c r="AL131" s="83"/>
      <c r="AM131" s="83"/>
      <c r="AN131" s="83"/>
      <c r="AO131" s="83"/>
      <c r="AP131" s="83"/>
      <c r="AQ131" s="83"/>
      <c r="AR131" s="83"/>
      <c r="AS131" s="83"/>
      <c r="AT131" s="83"/>
      <c r="AU131" s="83"/>
    </row>
    <row r="132" spans="1:47" x14ac:dyDescent="0.3">
      <c r="A132" s="80"/>
      <c r="B132" s="80"/>
      <c r="C132" s="80"/>
      <c r="D132" s="83"/>
      <c r="E132" s="83" t="str">
        <f t="shared" si="2"/>
        <v>Linezolid IV</v>
      </c>
      <c r="F132" s="73">
        <v>10</v>
      </c>
      <c r="G132" s="73">
        <f>10/7</f>
        <v>1.4285714285714286</v>
      </c>
      <c r="H132" s="73">
        <f>3*G48</f>
        <v>6</v>
      </c>
      <c r="I132" s="73">
        <f>5*G48</f>
        <v>10</v>
      </c>
      <c r="J132" s="84" t="s">
        <v>127</v>
      </c>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c r="AQ132" s="83"/>
      <c r="AR132" s="83"/>
      <c r="AS132" s="83"/>
      <c r="AT132" s="83"/>
      <c r="AU132" s="83"/>
    </row>
    <row r="133" spans="1:47" x14ac:dyDescent="0.3">
      <c r="A133" s="80"/>
      <c r="B133" s="80"/>
      <c r="C133" s="80"/>
      <c r="D133" s="83"/>
      <c r="E133" s="83" t="str">
        <f t="shared" si="2"/>
        <v>Daptomycin</v>
      </c>
      <c r="F133" s="73">
        <v>10</v>
      </c>
      <c r="G133" s="73">
        <f>10/7</f>
        <v>1.4285714285714286</v>
      </c>
      <c r="H133" s="73">
        <f>10*1</f>
        <v>10</v>
      </c>
      <c r="I133" s="73">
        <v>5</v>
      </c>
      <c r="J133" s="84" t="s">
        <v>128</v>
      </c>
      <c r="K133" s="83"/>
      <c r="L133" s="83"/>
      <c r="M133" s="83"/>
      <c r="N133" s="83"/>
      <c r="O133" s="83"/>
      <c r="P133" s="83"/>
      <c r="Q133" s="83"/>
      <c r="R133" s="83"/>
      <c r="S133" s="83"/>
      <c r="T133" s="83"/>
      <c r="U133" s="83"/>
      <c r="V133" s="83"/>
      <c r="W133" s="83"/>
      <c r="X133" s="83"/>
      <c r="Y133" s="83"/>
      <c r="Z133" s="83"/>
      <c r="AA133" s="83"/>
      <c r="AB133" s="83"/>
      <c r="AC133" s="83"/>
      <c r="AD133" s="83"/>
      <c r="AE133" s="83"/>
      <c r="AF133" s="83"/>
      <c r="AG133" s="83"/>
      <c r="AH133" s="83"/>
      <c r="AI133" s="83"/>
      <c r="AJ133" s="83"/>
      <c r="AK133" s="83"/>
      <c r="AL133" s="83"/>
      <c r="AM133" s="83"/>
      <c r="AN133" s="83"/>
      <c r="AO133" s="83"/>
      <c r="AP133" s="83"/>
      <c r="AQ133" s="83"/>
      <c r="AR133" s="83"/>
      <c r="AS133" s="83"/>
      <c r="AT133" s="83"/>
      <c r="AU133" s="83"/>
    </row>
    <row r="134" spans="1:47" x14ac:dyDescent="0.3">
      <c r="A134" s="80"/>
      <c r="B134" s="80"/>
      <c r="C134" s="80"/>
      <c r="D134" s="83"/>
      <c r="E134" s="83" t="str">
        <f t="shared" si="2"/>
        <v>Cefazolin IV</v>
      </c>
      <c r="F134" s="73">
        <v>5</v>
      </c>
      <c r="G134" s="73">
        <f>5/7</f>
        <v>0.7142857142857143</v>
      </c>
      <c r="H134" s="73">
        <f>5*G49</f>
        <v>15</v>
      </c>
      <c r="I134" s="73">
        <f>5*G49</f>
        <v>15</v>
      </c>
      <c r="J134" s="84" t="s">
        <v>129</v>
      </c>
      <c r="K134" s="83"/>
      <c r="L134" s="83"/>
      <c r="M134" s="83"/>
      <c r="N134" s="83"/>
      <c r="O134" s="83"/>
      <c r="P134" s="83"/>
      <c r="Q134" s="83"/>
      <c r="R134" s="83"/>
      <c r="S134" s="83"/>
      <c r="T134" s="83"/>
      <c r="U134" s="83"/>
      <c r="V134" s="83"/>
      <c r="W134" s="83"/>
      <c r="X134" s="83"/>
      <c r="Y134" s="83"/>
      <c r="Z134" s="83"/>
      <c r="AA134" s="83"/>
      <c r="AB134" s="83"/>
      <c r="AC134" s="83"/>
      <c r="AD134" s="83"/>
      <c r="AE134" s="83"/>
      <c r="AF134" s="83"/>
      <c r="AG134" s="83"/>
      <c r="AH134" s="83"/>
      <c r="AI134" s="83"/>
      <c r="AJ134" s="83"/>
      <c r="AK134" s="83"/>
      <c r="AL134" s="83"/>
      <c r="AM134" s="83"/>
      <c r="AN134" s="83"/>
      <c r="AO134" s="83"/>
      <c r="AP134" s="83"/>
      <c r="AQ134" s="83"/>
      <c r="AR134" s="83"/>
      <c r="AS134" s="83"/>
      <c r="AT134" s="83"/>
      <c r="AU134" s="83"/>
    </row>
    <row r="135" spans="1:47" x14ac:dyDescent="0.3">
      <c r="A135" s="80"/>
      <c r="B135" s="80"/>
      <c r="C135" s="80"/>
      <c r="D135" s="83"/>
      <c r="E135" s="83" t="str">
        <f t="shared" si="2"/>
        <v>Ceftriaxone IV</v>
      </c>
      <c r="F135" s="73">
        <v>5</v>
      </c>
      <c r="G135" s="73">
        <f>5/7</f>
        <v>0.7142857142857143</v>
      </c>
      <c r="H135" s="73">
        <f>5*G50</f>
        <v>5</v>
      </c>
      <c r="I135" s="73">
        <f>5*G50</f>
        <v>5</v>
      </c>
      <c r="J135" s="84" t="s">
        <v>129</v>
      </c>
      <c r="K135" s="83"/>
      <c r="L135" s="83"/>
      <c r="M135" s="83"/>
      <c r="N135" s="83"/>
      <c r="O135" s="83"/>
      <c r="P135" s="83"/>
      <c r="Q135" s="83"/>
      <c r="R135" s="83"/>
      <c r="S135" s="83"/>
      <c r="T135" s="83"/>
      <c r="U135" s="83"/>
      <c r="V135" s="83"/>
      <c r="W135" s="83"/>
      <c r="X135" s="83"/>
      <c r="Y135" s="83"/>
      <c r="Z135" s="83"/>
      <c r="AA135" s="83"/>
      <c r="AB135" s="83"/>
      <c r="AC135" s="83"/>
      <c r="AD135" s="83"/>
      <c r="AE135" s="83"/>
      <c r="AF135" s="83"/>
      <c r="AG135" s="83"/>
      <c r="AH135" s="83"/>
      <c r="AI135" s="83"/>
      <c r="AJ135" s="83"/>
      <c r="AK135" s="83"/>
      <c r="AL135" s="83"/>
      <c r="AM135" s="83"/>
      <c r="AN135" s="83"/>
      <c r="AO135" s="83"/>
      <c r="AP135" s="83"/>
      <c r="AQ135" s="83"/>
      <c r="AR135" s="83"/>
      <c r="AS135" s="83"/>
      <c r="AT135" s="83"/>
      <c r="AU135" s="83"/>
    </row>
    <row r="136" spans="1:47" x14ac:dyDescent="0.3">
      <c r="A136" s="80"/>
      <c r="B136" s="80"/>
      <c r="C136" s="80"/>
      <c r="D136" s="83"/>
      <c r="E136" s="83" t="str">
        <f t="shared" si="2"/>
        <v>Other</v>
      </c>
      <c r="F136" s="73">
        <v>0</v>
      </c>
      <c r="G136" s="73">
        <v>0</v>
      </c>
      <c r="H136" s="73">
        <v>0</v>
      </c>
      <c r="I136" s="73">
        <v>0</v>
      </c>
      <c r="J136" s="84"/>
      <c r="K136" s="83"/>
      <c r="L136" s="83"/>
      <c r="M136" s="83"/>
      <c r="N136" s="83"/>
      <c r="O136" s="83"/>
      <c r="P136" s="83"/>
      <c r="Q136" s="83"/>
      <c r="R136" s="83"/>
      <c r="S136" s="83"/>
      <c r="T136" s="83"/>
      <c r="U136" s="83"/>
      <c r="V136" s="83"/>
      <c r="W136" s="83"/>
      <c r="X136" s="83"/>
      <c r="Y136" s="83"/>
      <c r="Z136" s="83"/>
      <c r="AA136" s="83"/>
      <c r="AB136" s="83"/>
      <c r="AC136" s="83"/>
      <c r="AD136" s="83"/>
      <c r="AE136" s="83"/>
      <c r="AF136" s="83"/>
      <c r="AG136" s="83"/>
      <c r="AH136" s="83"/>
      <c r="AI136" s="83"/>
      <c r="AJ136" s="83"/>
      <c r="AK136" s="83"/>
      <c r="AL136" s="83"/>
      <c r="AM136" s="83"/>
      <c r="AN136" s="83"/>
      <c r="AO136" s="83"/>
      <c r="AP136" s="83"/>
      <c r="AQ136" s="83"/>
      <c r="AR136" s="83"/>
      <c r="AS136" s="83"/>
      <c r="AT136" s="83"/>
      <c r="AU136" s="83"/>
    </row>
    <row r="137" spans="1:47" x14ac:dyDescent="0.3">
      <c r="A137" s="80"/>
      <c r="B137" s="80"/>
      <c r="C137" s="80"/>
      <c r="D137" s="83"/>
      <c r="E137" s="83"/>
      <c r="F137" s="83"/>
      <c r="G137" s="83"/>
      <c r="H137" s="83"/>
      <c r="I137" s="83"/>
      <c r="J137" s="83"/>
      <c r="K137" s="83"/>
      <c r="L137" s="83"/>
      <c r="M137" s="83"/>
      <c r="N137" s="83"/>
      <c r="O137" s="83"/>
      <c r="P137" s="83"/>
      <c r="Q137" s="83"/>
      <c r="R137" s="83"/>
      <c r="S137" s="83"/>
      <c r="T137" s="83"/>
      <c r="U137" s="83"/>
      <c r="V137" s="83"/>
      <c r="W137" s="83"/>
      <c r="X137" s="83"/>
      <c r="Y137" s="83"/>
      <c r="Z137" s="83"/>
      <c r="AA137" s="83"/>
      <c r="AB137" s="83"/>
      <c r="AC137" s="83"/>
      <c r="AD137" s="83"/>
      <c r="AE137" s="83"/>
      <c r="AF137" s="83"/>
      <c r="AG137" s="83"/>
      <c r="AH137" s="83"/>
      <c r="AI137" s="83"/>
      <c r="AJ137" s="83"/>
      <c r="AK137" s="83"/>
      <c r="AL137" s="83"/>
      <c r="AM137" s="83"/>
      <c r="AN137" s="83"/>
      <c r="AO137" s="83"/>
      <c r="AP137" s="83"/>
      <c r="AQ137" s="83"/>
      <c r="AR137" s="83"/>
      <c r="AS137" s="83"/>
    </row>
    <row r="138" spans="1:47" x14ac:dyDescent="0.3">
      <c r="A138" s="80"/>
      <c r="B138" s="80"/>
      <c r="C138" s="80"/>
      <c r="D138" s="83"/>
      <c r="E138" s="83"/>
      <c r="F138" s="83"/>
      <c r="G138" s="83"/>
      <c r="H138" s="83"/>
      <c r="I138" s="83"/>
      <c r="J138" s="83"/>
      <c r="K138" s="83"/>
      <c r="L138" s="83"/>
      <c r="M138" s="83"/>
      <c r="N138" s="83"/>
      <c r="O138" s="83"/>
      <c r="P138" s="83"/>
      <c r="Q138" s="83"/>
      <c r="R138" s="83"/>
      <c r="S138" s="83"/>
      <c r="T138" s="83"/>
      <c r="U138" s="83"/>
      <c r="V138" s="83"/>
      <c r="W138" s="83"/>
      <c r="X138" s="83"/>
      <c r="Y138" s="83"/>
      <c r="Z138" s="83"/>
      <c r="AA138" s="83"/>
      <c r="AB138" s="83"/>
      <c r="AC138" s="83"/>
      <c r="AD138" s="83"/>
      <c r="AE138" s="83"/>
      <c r="AF138" s="83"/>
      <c r="AG138" s="83"/>
      <c r="AH138" s="83"/>
      <c r="AI138" s="83"/>
      <c r="AJ138" s="83"/>
      <c r="AK138" s="83"/>
      <c r="AL138" s="83"/>
      <c r="AM138" s="83"/>
      <c r="AN138" s="83"/>
      <c r="AO138" s="83"/>
      <c r="AP138" s="83"/>
      <c r="AQ138" s="83"/>
      <c r="AR138" s="83"/>
      <c r="AS138" s="83"/>
    </row>
    <row r="139" spans="1:47" x14ac:dyDescent="0.3">
      <c r="A139" s="80"/>
      <c r="B139" s="80"/>
      <c r="C139" s="80"/>
      <c r="D139" s="83"/>
      <c r="E139" s="83"/>
      <c r="F139" s="192" t="s">
        <v>130</v>
      </c>
      <c r="G139" s="192"/>
      <c r="H139" s="192"/>
      <c r="I139" s="192"/>
      <c r="J139" s="83"/>
      <c r="K139" s="83"/>
      <c r="L139" s="83"/>
      <c r="M139" s="83"/>
      <c r="N139" s="83"/>
      <c r="O139" s="83"/>
      <c r="P139" s="83"/>
      <c r="Q139" s="83"/>
      <c r="R139" s="83"/>
      <c r="S139" s="83"/>
      <c r="T139" s="83"/>
      <c r="U139" s="83"/>
      <c r="V139" s="83"/>
      <c r="W139" s="83"/>
      <c r="X139" s="83"/>
      <c r="Y139" s="83"/>
      <c r="Z139" s="83"/>
      <c r="AA139" s="83"/>
      <c r="AB139" s="83"/>
      <c r="AC139" s="83"/>
      <c r="AD139" s="83"/>
      <c r="AE139" s="83"/>
      <c r="AF139" s="83"/>
      <c r="AG139" s="83"/>
      <c r="AH139" s="83"/>
      <c r="AI139" s="83"/>
      <c r="AJ139" s="83"/>
      <c r="AK139" s="83"/>
      <c r="AL139" s="83"/>
      <c r="AM139" s="83"/>
      <c r="AN139" s="83"/>
      <c r="AO139" s="83"/>
      <c r="AP139" s="83"/>
      <c r="AQ139" s="83"/>
      <c r="AR139" s="83"/>
      <c r="AS139" s="83"/>
    </row>
    <row r="140" spans="1:47" ht="43.2" x14ac:dyDescent="0.3">
      <c r="A140" s="80"/>
      <c r="B140" s="80"/>
      <c r="C140" s="80"/>
      <c r="D140" s="83"/>
      <c r="E140" s="108" t="s">
        <v>38</v>
      </c>
      <c r="F140" s="98" t="s">
        <v>131</v>
      </c>
      <c r="G140" s="98" t="s">
        <v>132</v>
      </c>
      <c r="H140" s="98" t="s">
        <v>133</v>
      </c>
      <c r="I140" s="98" t="s">
        <v>134</v>
      </c>
      <c r="J140" s="98"/>
      <c r="K140" s="83"/>
      <c r="L140" s="83"/>
      <c r="M140" s="83"/>
      <c r="N140" s="83"/>
      <c r="O140" s="83"/>
      <c r="P140" s="83"/>
      <c r="Q140" s="83"/>
      <c r="R140" s="83"/>
      <c r="S140" s="83"/>
      <c r="T140" s="83"/>
      <c r="U140" s="83"/>
      <c r="V140" s="83"/>
      <c r="W140" s="83"/>
      <c r="X140" s="83"/>
      <c r="Y140" s="83"/>
      <c r="Z140" s="83"/>
      <c r="AA140" s="83"/>
      <c r="AB140" s="83"/>
      <c r="AC140" s="83"/>
      <c r="AD140" s="83"/>
      <c r="AE140" s="83"/>
      <c r="AF140" s="83"/>
      <c r="AG140" s="83"/>
      <c r="AH140" s="83"/>
      <c r="AI140" s="83"/>
      <c r="AJ140" s="83"/>
      <c r="AK140" s="83"/>
      <c r="AL140" s="83"/>
      <c r="AM140" s="83"/>
      <c r="AN140" s="83"/>
      <c r="AO140" s="83"/>
      <c r="AP140" s="83"/>
      <c r="AQ140" s="83"/>
      <c r="AR140" s="83"/>
      <c r="AS140" s="83"/>
    </row>
    <row r="141" spans="1:47" x14ac:dyDescent="0.3">
      <c r="A141" s="80"/>
      <c r="B141" s="80"/>
      <c r="C141" s="80"/>
      <c r="D141" s="83"/>
      <c r="E141" s="83" t="str">
        <f t="shared" ref="E141:E147" si="3">E130</f>
        <v>Xydalba</v>
      </c>
      <c r="F141" s="127"/>
      <c r="G141" s="127"/>
      <c r="H141" s="127"/>
      <c r="I141" s="129"/>
      <c r="J141" s="83"/>
      <c r="K141" s="83"/>
      <c r="L141" s="83"/>
      <c r="M141" s="83"/>
      <c r="N141" s="83"/>
      <c r="O141" s="83"/>
      <c r="P141" s="83"/>
      <c r="Q141" s="83"/>
      <c r="R141" s="83"/>
      <c r="S141" s="83"/>
      <c r="T141" s="83"/>
      <c r="U141" s="83"/>
      <c r="V141" s="83"/>
      <c r="W141" s="83"/>
      <c r="X141" s="83"/>
      <c r="Y141" s="83"/>
      <c r="Z141" s="83"/>
      <c r="AA141" s="83"/>
      <c r="AB141" s="83"/>
      <c r="AC141" s="83"/>
      <c r="AD141" s="83"/>
      <c r="AE141" s="83"/>
      <c r="AF141" s="83"/>
      <c r="AG141" s="83"/>
      <c r="AH141" s="83"/>
      <c r="AI141" s="83"/>
      <c r="AJ141" s="83"/>
      <c r="AK141" s="83"/>
      <c r="AL141" s="83"/>
      <c r="AM141" s="83"/>
      <c r="AN141" s="83"/>
      <c r="AO141" s="83"/>
      <c r="AP141" s="83"/>
      <c r="AQ141" s="83"/>
      <c r="AR141" s="83"/>
      <c r="AS141" s="83"/>
    </row>
    <row r="142" spans="1:47" x14ac:dyDescent="0.3">
      <c r="A142" s="80"/>
      <c r="B142" s="80"/>
      <c r="C142" s="80"/>
      <c r="D142" s="83"/>
      <c r="E142" s="83" t="str">
        <f t="shared" si="3"/>
        <v>Vancomycin IV</v>
      </c>
      <c r="F142" s="127"/>
      <c r="G142" s="127"/>
      <c r="H142" s="127"/>
      <c r="I142" s="129"/>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c r="AQ142" s="83"/>
      <c r="AR142" s="83"/>
      <c r="AS142" s="83"/>
    </row>
    <row r="143" spans="1:47" x14ac:dyDescent="0.3">
      <c r="A143" s="80"/>
      <c r="B143" s="80"/>
      <c r="C143" s="80"/>
      <c r="D143" s="83"/>
      <c r="E143" s="83" t="str">
        <f t="shared" si="3"/>
        <v>Linezolid IV</v>
      </c>
      <c r="F143" s="127"/>
      <c r="G143" s="127"/>
      <c r="H143" s="127"/>
      <c r="I143" s="129"/>
      <c r="J143" s="83"/>
      <c r="K143" s="83"/>
      <c r="L143" s="83"/>
      <c r="M143" s="83"/>
      <c r="N143" s="83"/>
      <c r="O143" s="83"/>
      <c r="P143" s="83"/>
      <c r="Q143" s="83"/>
      <c r="R143" s="83"/>
      <c r="S143" s="83"/>
      <c r="T143" s="83"/>
      <c r="U143" s="83"/>
      <c r="V143" s="83"/>
      <c r="W143" s="83"/>
      <c r="X143" s="83"/>
      <c r="Y143" s="83"/>
      <c r="Z143" s="83"/>
      <c r="AA143" s="83"/>
      <c r="AB143" s="83"/>
      <c r="AC143" s="83"/>
      <c r="AD143" s="83"/>
      <c r="AE143" s="83"/>
      <c r="AF143" s="83"/>
      <c r="AG143" s="83"/>
      <c r="AH143" s="83"/>
      <c r="AI143" s="83"/>
      <c r="AJ143" s="83"/>
      <c r="AK143" s="83"/>
      <c r="AL143" s="83"/>
      <c r="AM143" s="83"/>
      <c r="AN143" s="83"/>
      <c r="AO143" s="83"/>
      <c r="AP143" s="83"/>
      <c r="AQ143" s="83"/>
      <c r="AR143" s="83"/>
      <c r="AS143" s="83"/>
    </row>
    <row r="144" spans="1:47" x14ac:dyDescent="0.3">
      <c r="A144" s="80"/>
      <c r="B144" s="80"/>
      <c r="C144" s="80"/>
      <c r="D144" s="83"/>
      <c r="E144" s="83" t="str">
        <f t="shared" si="3"/>
        <v>Daptomycin</v>
      </c>
      <c r="F144" s="127"/>
      <c r="G144" s="127"/>
      <c r="H144" s="127"/>
      <c r="I144" s="129"/>
      <c r="J144" s="83"/>
      <c r="K144" s="83"/>
      <c r="L144" s="83"/>
      <c r="M144" s="83"/>
      <c r="N144" s="83"/>
      <c r="O144" s="83"/>
      <c r="P144" s="83"/>
      <c r="Q144" s="83"/>
      <c r="R144" s="83"/>
      <c r="S144" s="83"/>
      <c r="T144" s="83"/>
      <c r="U144" s="83"/>
      <c r="V144" s="83"/>
      <c r="W144" s="83"/>
      <c r="X144" s="83"/>
      <c r="Y144" s="83"/>
      <c r="Z144" s="83"/>
      <c r="AA144" s="83"/>
      <c r="AB144" s="83"/>
      <c r="AC144" s="83"/>
      <c r="AD144" s="83"/>
      <c r="AE144" s="83"/>
      <c r="AF144" s="83"/>
      <c r="AG144" s="83"/>
      <c r="AH144" s="83"/>
      <c r="AI144" s="83"/>
      <c r="AJ144" s="83"/>
      <c r="AK144" s="83"/>
      <c r="AL144" s="83"/>
      <c r="AM144" s="83"/>
      <c r="AN144" s="83"/>
      <c r="AO144" s="83"/>
      <c r="AP144" s="83"/>
      <c r="AQ144" s="83"/>
      <c r="AR144" s="83"/>
      <c r="AS144" s="83"/>
    </row>
    <row r="145" spans="1:47" x14ac:dyDescent="0.3">
      <c r="A145" s="80"/>
      <c r="B145" s="80"/>
      <c r="C145" s="80"/>
      <c r="D145" s="83"/>
      <c r="E145" s="83" t="str">
        <f t="shared" si="3"/>
        <v>Cefazolin IV</v>
      </c>
      <c r="F145" s="127"/>
      <c r="G145" s="127"/>
      <c r="H145" s="127"/>
      <c r="I145" s="129"/>
      <c r="J145" s="83"/>
      <c r="K145" s="83"/>
      <c r="L145" s="83"/>
      <c r="M145" s="83"/>
      <c r="N145" s="83"/>
      <c r="O145" s="83"/>
      <c r="P145" s="83"/>
      <c r="Q145" s="83"/>
      <c r="R145" s="83"/>
      <c r="S145" s="83"/>
      <c r="T145" s="83"/>
      <c r="U145" s="83"/>
      <c r="V145" s="83"/>
      <c r="W145" s="83"/>
      <c r="X145" s="83"/>
      <c r="Y145" s="83"/>
      <c r="Z145" s="83"/>
      <c r="AA145" s="83"/>
      <c r="AB145" s="83"/>
      <c r="AC145" s="83"/>
      <c r="AD145" s="83"/>
      <c r="AE145" s="83"/>
      <c r="AF145" s="83"/>
      <c r="AG145" s="83"/>
      <c r="AH145" s="83"/>
      <c r="AI145" s="83"/>
      <c r="AJ145" s="83"/>
      <c r="AK145" s="83"/>
      <c r="AL145" s="83"/>
      <c r="AM145" s="83"/>
      <c r="AN145" s="83"/>
      <c r="AO145" s="83"/>
      <c r="AP145" s="83"/>
      <c r="AQ145" s="83"/>
      <c r="AR145" s="83"/>
      <c r="AS145" s="83"/>
    </row>
    <row r="146" spans="1:47" x14ac:dyDescent="0.3">
      <c r="A146" s="80"/>
      <c r="B146" s="80"/>
      <c r="C146" s="80"/>
      <c r="D146" s="83"/>
      <c r="E146" s="83" t="str">
        <f t="shared" si="3"/>
        <v>Ceftriaxone IV</v>
      </c>
      <c r="F146" s="127"/>
      <c r="G146" s="127"/>
      <c r="H146" s="127"/>
      <c r="I146" s="129"/>
      <c r="J146" s="83"/>
      <c r="K146" s="83"/>
      <c r="L146" s="83"/>
      <c r="M146" s="83"/>
      <c r="N146" s="83"/>
      <c r="O146" s="83"/>
      <c r="P146" s="83"/>
      <c r="Q146" s="83"/>
      <c r="R146" s="83"/>
      <c r="S146" s="83"/>
      <c r="T146" s="83"/>
      <c r="U146" s="83"/>
      <c r="V146" s="83"/>
      <c r="W146" s="83"/>
      <c r="X146" s="83"/>
      <c r="Y146" s="83"/>
      <c r="Z146" s="83"/>
      <c r="AA146" s="83"/>
      <c r="AB146" s="83"/>
      <c r="AC146" s="83"/>
      <c r="AD146" s="83"/>
      <c r="AE146" s="83"/>
      <c r="AF146" s="83"/>
      <c r="AG146" s="83"/>
      <c r="AH146" s="83"/>
      <c r="AI146" s="83"/>
      <c r="AJ146" s="83"/>
      <c r="AK146" s="83"/>
      <c r="AL146" s="83"/>
      <c r="AM146" s="83"/>
      <c r="AN146" s="83"/>
      <c r="AO146" s="83"/>
      <c r="AP146" s="83"/>
      <c r="AQ146" s="83"/>
      <c r="AR146" s="83"/>
      <c r="AS146" s="83"/>
    </row>
    <row r="147" spans="1:47" x14ac:dyDescent="0.3">
      <c r="A147" s="80"/>
      <c r="B147" s="80"/>
      <c r="C147" s="80"/>
      <c r="D147" s="83"/>
      <c r="E147" s="83" t="str">
        <f t="shared" si="3"/>
        <v>Other</v>
      </c>
      <c r="F147" s="127"/>
      <c r="G147" s="127"/>
      <c r="H147" s="127"/>
      <c r="I147" s="129"/>
      <c r="J147" s="83"/>
      <c r="K147" s="83"/>
      <c r="L147" s="83"/>
      <c r="M147" s="83"/>
      <c r="N147" s="83"/>
      <c r="O147" s="83"/>
      <c r="P147" s="83"/>
      <c r="Q147" s="83"/>
      <c r="R147" s="83"/>
      <c r="S147" s="83"/>
      <c r="T147" s="83"/>
      <c r="U147" s="83"/>
      <c r="V147" s="83"/>
      <c r="W147" s="83"/>
      <c r="X147" s="83"/>
      <c r="Y147" s="83"/>
      <c r="Z147" s="83"/>
      <c r="AA147" s="83"/>
      <c r="AB147" s="83"/>
      <c r="AC147" s="83"/>
      <c r="AD147" s="83"/>
      <c r="AE147" s="83"/>
      <c r="AF147" s="83"/>
      <c r="AG147" s="83"/>
      <c r="AH147" s="83"/>
      <c r="AI147" s="83"/>
      <c r="AJ147" s="83"/>
      <c r="AK147" s="83"/>
      <c r="AL147" s="83"/>
      <c r="AM147" s="83"/>
      <c r="AN147" s="83"/>
      <c r="AO147" s="83"/>
      <c r="AP147" s="83"/>
      <c r="AQ147" s="83"/>
      <c r="AR147" s="83"/>
      <c r="AS147" s="83"/>
    </row>
    <row r="148" spans="1:47" x14ac:dyDescent="0.3">
      <c r="A148" s="80"/>
      <c r="B148" s="80"/>
      <c r="C148" s="80"/>
      <c r="D148" s="83"/>
      <c r="E148" s="83"/>
      <c r="F148" s="83"/>
      <c r="G148" s="83"/>
      <c r="H148" s="83"/>
      <c r="I148" s="83"/>
      <c r="J148" s="83"/>
      <c r="K148" s="83"/>
      <c r="L148" s="83"/>
      <c r="M148" s="83"/>
      <c r="N148" s="83"/>
      <c r="O148" s="83"/>
      <c r="P148" s="83"/>
      <c r="Q148" s="83"/>
      <c r="R148" s="83"/>
      <c r="S148" s="83"/>
      <c r="T148" s="83"/>
      <c r="U148" s="83"/>
      <c r="V148" s="83"/>
      <c r="W148" s="83"/>
      <c r="X148" s="83"/>
      <c r="Y148" s="83"/>
      <c r="Z148" s="83"/>
      <c r="AA148" s="83"/>
      <c r="AB148" s="83"/>
      <c r="AC148" s="83"/>
      <c r="AD148" s="83"/>
      <c r="AE148" s="83"/>
      <c r="AF148" s="83"/>
      <c r="AG148" s="83"/>
      <c r="AH148" s="83"/>
      <c r="AI148" s="83"/>
      <c r="AJ148" s="83"/>
      <c r="AK148" s="83"/>
      <c r="AL148" s="83"/>
      <c r="AM148" s="83"/>
      <c r="AN148" s="83"/>
      <c r="AO148" s="83"/>
      <c r="AP148" s="83"/>
      <c r="AQ148" s="83"/>
      <c r="AR148" s="83"/>
      <c r="AS148" s="83"/>
    </row>
    <row r="149" spans="1:47" x14ac:dyDescent="0.3">
      <c r="A149" s="80"/>
      <c r="B149" s="80"/>
      <c r="C149" s="80"/>
      <c r="D149" s="83"/>
      <c r="E149" s="83"/>
      <c r="F149" s="83"/>
      <c r="G149" s="83"/>
      <c r="H149" s="83"/>
      <c r="I149" s="83"/>
      <c r="J149" s="83"/>
      <c r="K149" s="83"/>
      <c r="L149" s="83"/>
      <c r="M149" s="83"/>
      <c r="N149" s="83"/>
      <c r="O149" s="83"/>
      <c r="P149" s="83"/>
      <c r="Q149" s="83"/>
      <c r="R149" s="83"/>
      <c r="S149" s="83"/>
      <c r="T149" s="83"/>
      <c r="U149" s="83"/>
      <c r="V149" s="83"/>
      <c r="W149" s="83"/>
      <c r="X149" s="83"/>
      <c r="Y149" s="83"/>
      <c r="Z149" s="83"/>
      <c r="AA149" s="83"/>
      <c r="AB149" s="83"/>
      <c r="AC149" s="83"/>
      <c r="AD149" s="83"/>
      <c r="AE149" s="83"/>
      <c r="AF149" s="83"/>
      <c r="AG149" s="83"/>
      <c r="AH149" s="83"/>
      <c r="AI149" s="83"/>
      <c r="AJ149" s="83"/>
      <c r="AK149" s="83"/>
      <c r="AL149" s="83"/>
      <c r="AM149" s="83"/>
      <c r="AN149" s="83"/>
      <c r="AO149" s="83"/>
      <c r="AP149" s="83"/>
      <c r="AQ149" s="83"/>
      <c r="AR149" s="83"/>
      <c r="AS149" s="83"/>
    </row>
    <row r="150" spans="1:47" x14ac:dyDescent="0.3">
      <c r="A150" s="80"/>
      <c r="B150" s="80"/>
      <c r="C150" s="80"/>
      <c r="D150" s="83"/>
      <c r="E150" s="83"/>
      <c r="F150" s="83"/>
      <c r="G150" s="83"/>
      <c r="H150" s="83"/>
      <c r="I150" s="83"/>
      <c r="J150" s="83"/>
      <c r="K150" s="83"/>
      <c r="L150" s="83"/>
      <c r="M150" s="83"/>
      <c r="N150" s="83"/>
      <c r="O150" s="83"/>
      <c r="P150" s="83"/>
      <c r="Q150" s="83"/>
      <c r="R150" s="83"/>
      <c r="S150" s="83"/>
      <c r="T150" s="83"/>
      <c r="U150" s="83"/>
      <c r="V150" s="83"/>
      <c r="W150" s="83"/>
      <c r="X150" s="83"/>
      <c r="Y150" s="83"/>
      <c r="Z150" s="83"/>
      <c r="AA150" s="83"/>
      <c r="AB150" s="83"/>
      <c r="AC150" s="83"/>
      <c r="AD150" s="83"/>
      <c r="AE150" s="83"/>
      <c r="AF150" s="83"/>
      <c r="AG150" s="83"/>
      <c r="AH150" s="83"/>
      <c r="AI150" s="83"/>
      <c r="AJ150" s="83"/>
      <c r="AK150" s="83"/>
      <c r="AL150" s="83"/>
      <c r="AM150" s="83"/>
      <c r="AN150" s="83"/>
      <c r="AO150" s="83"/>
      <c r="AP150" s="83"/>
      <c r="AQ150" s="83"/>
      <c r="AR150" s="83"/>
      <c r="AS150" s="83"/>
    </row>
    <row r="151" spans="1:47" ht="18.600000000000001" thickBot="1" x14ac:dyDescent="0.4">
      <c r="A151" s="80"/>
      <c r="B151" s="80"/>
      <c r="C151" s="80"/>
      <c r="D151" s="83"/>
      <c r="E151" s="85" t="s">
        <v>135</v>
      </c>
      <c r="F151" s="86"/>
      <c r="G151" s="86"/>
      <c r="H151" s="86"/>
      <c r="I151" s="86"/>
      <c r="J151" s="86"/>
      <c r="K151" s="86"/>
      <c r="L151" s="86"/>
      <c r="M151" s="86"/>
      <c r="N151" s="86"/>
      <c r="O151" s="86"/>
      <c r="P151" s="86"/>
      <c r="Q151" s="86"/>
      <c r="R151" s="86"/>
      <c r="S151" s="86"/>
      <c r="T151" s="86"/>
      <c r="U151" s="86"/>
      <c r="V151" s="86"/>
      <c r="W151" s="86"/>
      <c r="X151" s="86"/>
      <c r="Y151" s="86"/>
      <c r="Z151" s="86"/>
      <c r="AA151" s="86"/>
      <c r="AB151" s="86"/>
      <c r="AC151" s="86"/>
      <c r="AD151" s="86"/>
      <c r="AE151" s="86"/>
      <c r="AF151" s="86"/>
      <c r="AG151" s="86"/>
      <c r="AH151" s="86"/>
      <c r="AI151" s="86"/>
      <c r="AJ151" s="86"/>
      <c r="AK151" s="86"/>
      <c r="AL151" s="86"/>
      <c r="AM151" s="86"/>
      <c r="AN151" s="86"/>
      <c r="AO151" s="86"/>
      <c r="AP151" s="86"/>
      <c r="AQ151" s="86"/>
      <c r="AR151" s="86"/>
      <c r="AS151" s="86"/>
    </row>
    <row r="152" spans="1:47" x14ac:dyDescent="0.3">
      <c r="A152" s="80"/>
      <c r="B152" s="80"/>
      <c r="C152" s="80"/>
      <c r="D152" s="83"/>
      <c r="E152" s="83"/>
      <c r="F152" s="83"/>
      <c r="G152" s="83"/>
      <c r="H152" s="83"/>
      <c r="I152" s="83"/>
      <c r="J152" s="83"/>
      <c r="K152" s="83"/>
      <c r="L152" s="83"/>
      <c r="M152" s="83"/>
      <c r="N152" s="83"/>
      <c r="O152" s="83"/>
      <c r="P152" s="83"/>
      <c r="Q152" s="83"/>
      <c r="R152" s="83"/>
      <c r="S152" s="83"/>
      <c r="T152" s="83"/>
      <c r="U152" s="83"/>
      <c r="V152" s="83"/>
      <c r="W152" s="83"/>
      <c r="X152" s="83"/>
      <c r="Y152" s="83"/>
      <c r="Z152" s="83"/>
      <c r="AA152" s="83"/>
      <c r="AB152" s="83"/>
      <c r="AC152" s="83"/>
      <c r="AD152" s="83"/>
      <c r="AE152" s="83"/>
      <c r="AF152" s="83"/>
      <c r="AG152" s="83"/>
      <c r="AH152" s="83"/>
      <c r="AI152" s="83"/>
      <c r="AJ152" s="83"/>
      <c r="AK152" s="83"/>
      <c r="AL152" s="83"/>
      <c r="AM152" s="83"/>
      <c r="AN152" s="83"/>
      <c r="AO152" s="83"/>
      <c r="AP152" s="83"/>
      <c r="AQ152" s="83"/>
      <c r="AR152" s="83"/>
      <c r="AS152" s="83"/>
    </row>
    <row r="153" spans="1:47" x14ac:dyDescent="0.3">
      <c r="A153" s="80"/>
      <c r="B153" s="80"/>
      <c r="C153" s="80"/>
      <c r="D153" s="83"/>
      <c r="E153" s="83"/>
      <c r="F153" s="83"/>
      <c r="G153" s="83"/>
      <c r="H153" s="83"/>
      <c r="I153" s="83"/>
      <c r="J153" s="83"/>
      <c r="K153" s="83"/>
      <c r="L153" s="83"/>
      <c r="M153" s="83"/>
      <c r="N153" s="83"/>
      <c r="O153" s="83"/>
      <c r="P153" s="83"/>
      <c r="Q153" s="83"/>
      <c r="R153" s="83"/>
      <c r="S153" s="83"/>
      <c r="T153" s="83"/>
      <c r="U153" s="83"/>
      <c r="V153" s="83"/>
      <c r="W153" s="83"/>
      <c r="X153" s="83"/>
      <c r="Y153" s="83"/>
      <c r="Z153" s="83"/>
      <c r="AA153" s="83"/>
      <c r="AB153" s="83"/>
      <c r="AC153" s="83"/>
      <c r="AD153" s="83"/>
      <c r="AE153" s="83"/>
      <c r="AF153" s="83"/>
      <c r="AG153" s="83"/>
      <c r="AH153" s="83"/>
      <c r="AI153" s="83"/>
      <c r="AJ153" s="83"/>
      <c r="AK153" s="83"/>
      <c r="AL153" s="83"/>
      <c r="AM153" s="83"/>
      <c r="AN153" s="83"/>
      <c r="AO153" s="83"/>
      <c r="AP153" s="83"/>
      <c r="AQ153" s="83"/>
      <c r="AR153" s="83"/>
      <c r="AS153" s="83"/>
    </row>
    <row r="154" spans="1:47" ht="28.8" x14ac:dyDescent="0.3">
      <c r="A154" s="80"/>
      <c r="B154" s="80"/>
      <c r="C154" s="80"/>
      <c r="D154" s="83"/>
      <c r="E154" s="17" t="s">
        <v>136</v>
      </c>
      <c r="F154" s="2"/>
      <c r="G154" s="37" t="s">
        <v>137</v>
      </c>
      <c r="H154" s="38"/>
      <c r="I154" s="144"/>
      <c r="J154" s="145"/>
      <c r="K154" s="83"/>
      <c r="L154" s="83"/>
      <c r="M154" s="83"/>
      <c r="N154" s="83"/>
      <c r="O154" s="83"/>
      <c r="P154" s="83"/>
      <c r="Q154" s="83"/>
      <c r="R154" s="83"/>
      <c r="S154" s="83"/>
      <c r="T154" s="83"/>
      <c r="U154" s="83"/>
      <c r="V154" s="83"/>
      <c r="W154" s="83"/>
      <c r="X154" s="83"/>
      <c r="Y154" s="83"/>
      <c r="Z154" s="83"/>
      <c r="AA154" s="83"/>
      <c r="AB154" s="83"/>
      <c r="AC154" s="83"/>
      <c r="AD154" s="83"/>
      <c r="AE154" s="83"/>
      <c r="AF154" s="83"/>
      <c r="AG154" s="83"/>
      <c r="AH154" s="83"/>
      <c r="AI154" s="83"/>
      <c r="AJ154" s="83"/>
      <c r="AK154" s="83"/>
      <c r="AL154" s="83"/>
      <c r="AM154" s="83"/>
      <c r="AN154" s="83"/>
      <c r="AO154" s="83"/>
      <c r="AP154" s="83"/>
      <c r="AQ154" s="83"/>
      <c r="AR154" s="83"/>
      <c r="AS154" s="83"/>
    </row>
    <row r="155" spans="1:47" x14ac:dyDescent="0.3">
      <c r="A155" s="80"/>
      <c r="B155" s="80"/>
      <c r="C155" s="80"/>
      <c r="D155" s="83"/>
      <c r="E155" s="83" t="s">
        <v>114</v>
      </c>
      <c r="F155" s="18"/>
      <c r="G155" s="149">
        <v>37.096927126627875</v>
      </c>
      <c r="H155" s="39"/>
      <c r="I155" s="2"/>
      <c r="J155" s="30"/>
      <c r="K155" s="83"/>
      <c r="L155" s="83"/>
      <c r="M155" s="83"/>
      <c r="N155" s="83"/>
      <c r="O155" s="83"/>
      <c r="P155" s="83"/>
      <c r="Q155" s="83"/>
      <c r="R155" s="83"/>
      <c r="S155" s="83"/>
      <c r="T155" s="83"/>
      <c r="U155" s="83"/>
      <c r="V155" s="83"/>
      <c r="W155" s="83"/>
      <c r="X155" s="83"/>
      <c r="Y155" s="83"/>
      <c r="Z155" s="83"/>
      <c r="AA155" s="83"/>
      <c r="AB155" s="83"/>
      <c r="AC155" s="83"/>
      <c r="AD155" s="83"/>
      <c r="AE155" s="83"/>
      <c r="AF155" s="83"/>
      <c r="AG155" s="83"/>
      <c r="AH155" s="83"/>
      <c r="AI155" s="83"/>
      <c r="AJ155" s="83"/>
      <c r="AK155" s="83"/>
      <c r="AL155" s="83"/>
      <c r="AM155" s="83"/>
      <c r="AN155" s="83"/>
      <c r="AO155" s="83"/>
      <c r="AP155" s="83"/>
      <c r="AQ155" s="83"/>
      <c r="AR155" s="83"/>
      <c r="AS155" s="83"/>
    </row>
    <row r="156" spans="1:47" x14ac:dyDescent="0.3">
      <c r="A156" s="80"/>
      <c r="B156" s="80"/>
      <c r="C156" s="80"/>
      <c r="D156" s="83"/>
      <c r="E156" s="2"/>
      <c r="F156" s="2"/>
      <c r="G156" s="146"/>
      <c r="H156" s="53"/>
      <c r="I156" s="144"/>
      <c r="J156" s="147"/>
      <c r="K156" s="83"/>
      <c r="L156" s="83"/>
      <c r="M156" s="83"/>
      <c r="N156" s="83"/>
      <c r="O156" s="83"/>
      <c r="P156" s="83"/>
      <c r="Q156" s="83"/>
      <c r="R156" s="83"/>
      <c r="S156" s="83"/>
      <c r="T156" s="83"/>
      <c r="U156" s="83"/>
      <c r="V156" s="83"/>
      <c r="W156" s="83"/>
      <c r="X156" s="83"/>
      <c r="Y156" s="83"/>
      <c r="Z156" s="83"/>
      <c r="AA156" s="83"/>
      <c r="AB156" s="83"/>
      <c r="AC156" s="83"/>
      <c r="AD156" s="83"/>
      <c r="AE156" s="83"/>
      <c r="AF156" s="83"/>
      <c r="AG156" s="83"/>
      <c r="AH156" s="83"/>
      <c r="AI156" s="83"/>
      <c r="AJ156" s="83"/>
      <c r="AK156" s="83"/>
      <c r="AL156" s="83"/>
      <c r="AM156" s="83"/>
      <c r="AN156" s="83"/>
      <c r="AO156" s="83"/>
      <c r="AP156" s="83"/>
      <c r="AQ156" s="83"/>
      <c r="AR156" s="83"/>
      <c r="AS156" s="83"/>
    </row>
    <row r="157" spans="1:47" x14ac:dyDescent="0.3">
      <c r="A157" s="80"/>
      <c r="B157" s="80"/>
      <c r="C157" s="80"/>
      <c r="D157" s="83"/>
      <c r="E157" s="2"/>
      <c r="F157" s="2"/>
      <c r="G157" s="2"/>
      <c r="H157" s="2"/>
      <c r="I157" s="148"/>
      <c r="J157" s="145"/>
      <c r="K157" s="83"/>
      <c r="L157" s="83"/>
      <c r="M157" s="83"/>
      <c r="N157" s="83"/>
      <c r="O157" s="83"/>
      <c r="P157" s="83"/>
      <c r="Q157" s="83"/>
      <c r="R157" s="83"/>
      <c r="S157" s="83"/>
      <c r="T157" s="83"/>
      <c r="U157" s="83"/>
      <c r="V157" s="83"/>
      <c r="W157" s="83"/>
      <c r="X157" s="83"/>
      <c r="Y157" s="83"/>
      <c r="Z157" s="83"/>
      <c r="AA157" s="83"/>
      <c r="AB157" s="83"/>
      <c r="AC157" s="83"/>
      <c r="AD157" s="83"/>
      <c r="AE157" s="83"/>
      <c r="AF157" s="83"/>
      <c r="AG157" s="83"/>
      <c r="AH157" s="83"/>
      <c r="AI157" s="83"/>
      <c r="AJ157" s="83"/>
      <c r="AK157" s="83"/>
      <c r="AL157" s="83"/>
      <c r="AM157" s="83"/>
      <c r="AN157" s="83"/>
      <c r="AO157" s="83"/>
      <c r="AP157" s="83"/>
      <c r="AQ157" s="83"/>
      <c r="AR157" s="83"/>
      <c r="AS157" s="83"/>
    </row>
    <row r="158" spans="1:47" ht="43.2" x14ac:dyDescent="0.3">
      <c r="A158" s="80"/>
      <c r="B158" s="80"/>
      <c r="C158" s="80"/>
      <c r="D158" s="83"/>
      <c r="E158" s="2" t="s">
        <v>138</v>
      </c>
      <c r="F158" s="2"/>
      <c r="G158" s="18" t="s">
        <v>139</v>
      </c>
      <c r="H158" s="20" t="s">
        <v>140</v>
      </c>
      <c r="I158" s="20" t="s">
        <v>141</v>
      </c>
      <c r="J158" s="98" t="s">
        <v>142</v>
      </c>
      <c r="K158" s="38" t="s">
        <v>73</v>
      </c>
      <c r="L158" s="2"/>
      <c r="M158" s="83"/>
      <c r="N158" s="83"/>
      <c r="O158" s="83"/>
      <c r="P158" s="83"/>
      <c r="Q158" s="83"/>
      <c r="R158" s="83"/>
      <c r="S158" s="83"/>
      <c r="T158" s="83"/>
      <c r="U158" s="83"/>
      <c r="V158" s="83"/>
      <c r="W158" s="83"/>
      <c r="X158" s="83"/>
      <c r="Y158" s="83"/>
      <c r="Z158" s="83"/>
      <c r="AA158" s="83"/>
      <c r="AB158" s="83"/>
      <c r="AC158" s="83"/>
      <c r="AD158" s="83"/>
      <c r="AE158" s="83"/>
      <c r="AF158" s="83"/>
      <c r="AG158" s="83"/>
      <c r="AH158" s="83"/>
      <c r="AI158" s="83"/>
      <c r="AJ158" s="83"/>
      <c r="AK158" s="83"/>
      <c r="AL158" s="83"/>
      <c r="AM158" s="83"/>
      <c r="AN158" s="83"/>
      <c r="AO158" s="83"/>
      <c r="AP158" s="83"/>
      <c r="AQ158" s="83"/>
      <c r="AR158" s="83"/>
      <c r="AS158" s="83"/>
      <c r="AT158" s="83"/>
      <c r="AU158" s="83"/>
    </row>
    <row r="159" spans="1:47" x14ac:dyDescent="0.3">
      <c r="A159" s="80"/>
      <c r="B159" s="80"/>
      <c r="C159" s="80"/>
      <c r="D159" s="83"/>
      <c r="E159" s="2" t="str">
        <f t="shared" ref="E159:E165" si="4">E141</f>
        <v>Xydalba</v>
      </c>
      <c r="F159" s="2"/>
      <c r="G159" s="28">
        <f>30/60</f>
        <v>0.5</v>
      </c>
      <c r="H159" s="127"/>
      <c r="I159" s="142"/>
      <c r="J159" s="129"/>
      <c r="K159" s="39" t="s">
        <v>144</v>
      </c>
      <c r="L159" s="2"/>
      <c r="M159" s="83"/>
      <c r="N159" s="83"/>
      <c r="O159" s="83"/>
      <c r="P159" s="83"/>
      <c r="Q159" s="83"/>
      <c r="R159" s="83"/>
      <c r="S159" s="83"/>
      <c r="T159" s="83"/>
      <c r="U159" s="83"/>
      <c r="V159" s="83"/>
      <c r="W159" s="83"/>
      <c r="X159" s="83"/>
      <c r="Y159" s="83"/>
      <c r="Z159" s="83"/>
      <c r="AA159" s="83"/>
      <c r="AB159" s="83"/>
      <c r="AC159" s="83"/>
      <c r="AD159" s="83"/>
      <c r="AE159" s="83"/>
      <c r="AF159" s="83"/>
      <c r="AG159" s="83"/>
      <c r="AH159" s="83"/>
      <c r="AI159" s="83"/>
      <c r="AJ159" s="83"/>
      <c r="AK159" s="83"/>
      <c r="AL159" s="83"/>
      <c r="AM159" s="83"/>
      <c r="AN159" s="83"/>
      <c r="AO159" s="83"/>
      <c r="AP159" s="83"/>
      <c r="AQ159" s="83"/>
      <c r="AR159" s="83"/>
      <c r="AS159" s="83"/>
      <c r="AT159" s="83"/>
      <c r="AU159" s="83"/>
    </row>
    <row r="160" spans="1:47" x14ac:dyDescent="0.3">
      <c r="A160" s="80"/>
      <c r="B160" s="80"/>
      <c r="C160" s="80"/>
      <c r="D160" s="83"/>
      <c r="E160" s="2" t="str">
        <f t="shared" si="4"/>
        <v>Vancomycin IV</v>
      </c>
      <c r="F160" s="2"/>
      <c r="G160" s="28">
        <f>F47*G47/60/10</f>
        <v>3.3333333333333335</v>
      </c>
      <c r="H160" s="127"/>
      <c r="I160" s="142"/>
      <c r="J160" s="129"/>
      <c r="K160" s="39" t="s">
        <v>145</v>
      </c>
      <c r="L160" s="2"/>
      <c r="M160" s="83"/>
      <c r="N160" s="83"/>
      <c r="O160" s="83"/>
      <c r="P160" s="83"/>
      <c r="Q160" s="83"/>
      <c r="R160" s="83"/>
      <c r="S160" s="83"/>
      <c r="T160" s="83"/>
      <c r="U160" s="83"/>
      <c r="V160" s="83"/>
      <c r="W160" s="83"/>
      <c r="X160" s="83"/>
      <c r="Y160" s="83"/>
      <c r="Z160" s="83"/>
      <c r="AA160" s="83"/>
      <c r="AB160" s="83"/>
      <c r="AC160" s="83"/>
      <c r="AD160" s="83"/>
      <c r="AE160" s="83"/>
      <c r="AF160" s="83"/>
      <c r="AG160" s="83"/>
      <c r="AH160" s="83"/>
      <c r="AI160" s="83"/>
      <c r="AJ160" s="83"/>
      <c r="AK160" s="83"/>
      <c r="AL160" s="83"/>
      <c r="AM160" s="83"/>
      <c r="AN160" s="83"/>
      <c r="AO160" s="83"/>
      <c r="AP160" s="83"/>
      <c r="AQ160" s="83"/>
      <c r="AR160" s="83"/>
      <c r="AS160" s="83"/>
      <c r="AT160" s="83"/>
      <c r="AU160" s="83"/>
    </row>
    <row r="161" spans="1:47" x14ac:dyDescent="0.3">
      <c r="A161" s="80"/>
      <c r="B161" s="80"/>
      <c r="C161" s="80"/>
      <c r="D161" s="83"/>
      <c r="E161" s="2" t="str">
        <f t="shared" si="4"/>
        <v>Linezolid IV</v>
      </c>
      <c r="F161" s="2"/>
      <c r="G161" s="28">
        <f>((30+120)/2)*2/60</f>
        <v>2.5</v>
      </c>
      <c r="H161" s="127"/>
      <c r="I161" s="142"/>
      <c r="J161" s="129"/>
      <c r="K161" s="39" t="s">
        <v>200</v>
      </c>
      <c r="L161" s="2"/>
      <c r="M161" s="83"/>
      <c r="N161" s="83"/>
      <c r="O161" s="83"/>
      <c r="P161" s="83"/>
      <c r="Q161" s="83"/>
      <c r="R161" s="83"/>
      <c r="S161" s="83"/>
      <c r="T161" s="83"/>
      <c r="U161" s="83"/>
      <c r="V161" s="83"/>
      <c r="W161" s="83"/>
      <c r="X161" s="83"/>
      <c r="Y161" s="83"/>
      <c r="Z161" s="83"/>
      <c r="AA161" s="83"/>
      <c r="AB161" s="83"/>
      <c r="AC161" s="83"/>
      <c r="AD161" s="83"/>
      <c r="AE161" s="83"/>
      <c r="AF161" s="83"/>
      <c r="AG161" s="83"/>
      <c r="AH161" s="83"/>
      <c r="AI161" s="83"/>
      <c r="AJ161" s="83"/>
      <c r="AK161" s="83"/>
      <c r="AL161" s="83"/>
      <c r="AM161" s="83"/>
      <c r="AN161" s="83"/>
      <c r="AO161" s="83"/>
      <c r="AP161" s="83"/>
      <c r="AQ161" s="83"/>
      <c r="AR161" s="83"/>
      <c r="AS161" s="83"/>
      <c r="AT161" s="83"/>
      <c r="AU161" s="83"/>
    </row>
    <row r="162" spans="1:47" x14ac:dyDescent="0.3">
      <c r="A162" s="80"/>
      <c r="B162" s="80"/>
      <c r="C162" s="80"/>
      <c r="D162" s="83"/>
      <c r="E162" s="2" t="str">
        <f t="shared" si="4"/>
        <v>Daptomycin</v>
      </c>
      <c r="F162" s="2"/>
      <c r="G162" s="28">
        <f>30/60</f>
        <v>0.5</v>
      </c>
      <c r="H162" s="127"/>
      <c r="I162" s="142"/>
      <c r="J162" s="129"/>
      <c r="K162" s="39" t="s">
        <v>147</v>
      </c>
      <c r="L162" s="2"/>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c r="AQ162" s="83"/>
      <c r="AR162" s="83"/>
      <c r="AS162" s="83"/>
      <c r="AT162" s="83"/>
      <c r="AU162" s="83"/>
    </row>
    <row r="163" spans="1:47" x14ac:dyDescent="0.3">
      <c r="A163" s="80"/>
      <c r="B163" s="80"/>
      <c r="C163" s="80"/>
      <c r="D163" s="83"/>
      <c r="E163" s="2" t="str">
        <f t="shared" si="4"/>
        <v>Cefazolin IV</v>
      </c>
      <c r="F163" s="2"/>
      <c r="G163" s="28">
        <f>4*G49/60</f>
        <v>0.2</v>
      </c>
      <c r="H163" s="127"/>
      <c r="I163" s="142"/>
      <c r="J163" s="129"/>
      <c r="K163" s="39" t="s">
        <v>148</v>
      </c>
      <c r="L163" s="2"/>
      <c r="M163" s="83"/>
      <c r="N163" s="83"/>
      <c r="O163" s="83"/>
      <c r="P163" s="83"/>
      <c r="Q163" s="83"/>
      <c r="R163" s="83"/>
      <c r="S163" s="83"/>
      <c r="T163" s="83"/>
      <c r="U163" s="83"/>
      <c r="V163" s="83"/>
      <c r="W163" s="83"/>
      <c r="X163" s="83"/>
      <c r="Y163" s="83"/>
      <c r="Z163" s="83"/>
      <c r="AA163" s="83"/>
      <c r="AB163" s="83"/>
      <c r="AC163" s="83"/>
      <c r="AD163" s="83"/>
      <c r="AE163" s="83"/>
      <c r="AF163" s="83"/>
      <c r="AG163" s="83"/>
      <c r="AH163" s="83"/>
      <c r="AI163" s="83"/>
      <c r="AJ163" s="83"/>
      <c r="AK163" s="83"/>
      <c r="AL163" s="83"/>
      <c r="AM163" s="83"/>
      <c r="AN163" s="83"/>
      <c r="AO163" s="83"/>
      <c r="AP163" s="83"/>
      <c r="AQ163" s="83"/>
      <c r="AR163" s="83"/>
      <c r="AS163" s="83"/>
      <c r="AT163" s="83"/>
      <c r="AU163" s="83"/>
    </row>
    <row r="164" spans="1:47" x14ac:dyDescent="0.3">
      <c r="A164" s="80"/>
      <c r="B164" s="80"/>
      <c r="C164" s="80"/>
      <c r="D164" s="83"/>
      <c r="E164" s="2" t="str">
        <f t="shared" si="4"/>
        <v>Ceftriaxone IV</v>
      </c>
      <c r="F164" s="2"/>
      <c r="G164" s="28">
        <f>((20+30)/2)/60</f>
        <v>0.41666666666666669</v>
      </c>
      <c r="H164" s="127"/>
      <c r="I164" s="142"/>
      <c r="J164" s="129"/>
      <c r="K164" s="39" t="s">
        <v>149</v>
      </c>
      <c r="L164" s="2"/>
      <c r="M164" s="83"/>
      <c r="N164" s="83"/>
      <c r="O164" s="83"/>
      <c r="P164" s="83"/>
      <c r="Q164" s="83"/>
      <c r="R164" s="83"/>
      <c r="S164" s="83"/>
      <c r="T164" s="83"/>
      <c r="U164" s="83"/>
      <c r="V164" s="83"/>
      <c r="W164" s="83"/>
      <c r="X164" s="83"/>
      <c r="Y164" s="83"/>
      <c r="Z164" s="83"/>
      <c r="AA164" s="83"/>
      <c r="AB164" s="83"/>
      <c r="AC164" s="83"/>
      <c r="AD164" s="83"/>
      <c r="AE164" s="83"/>
      <c r="AF164" s="83"/>
      <c r="AG164" s="83"/>
      <c r="AH164" s="83"/>
      <c r="AI164" s="83"/>
      <c r="AJ164" s="83"/>
      <c r="AK164" s="83"/>
      <c r="AL164" s="83"/>
      <c r="AM164" s="83"/>
      <c r="AN164" s="83"/>
      <c r="AO164" s="83"/>
      <c r="AP164" s="83"/>
      <c r="AQ164" s="83"/>
      <c r="AR164" s="83"/>
      <c r="AS164" s="83"/>
      <c r="AT164" s="83"/>
      <c r="AU164" s="83"/>
    </row>
    <row r="165" spans="1:47" x14ac:dyDescent="0.3">
      <c r="A165" s="80"/>
      <c r="B165" s="80"/>
      <c r="C165" s="80"/>
      <c r="D165" s="83"/>
      <c r="E165" s="2" t="str">
        <f t="shared" si="4"/>
        <v>Other</v>
      </c>
      <c r="F165" s="2"/>
      <c r="G165" s="28">
        <v>0</v>
      </c>
      <c r="H165" s="127"/>
      <c r="I165" s="142"/>
      <c r="J165" s="129"/>
      <c r="K165" s="39"/>
      <c r="L165" s="2"/>
      <c r="M165" s="83"/>
      <c r="N165" s="83"/>
      <c r="O165" s="83"/>
      <c r="P165" s="83"/>
      <c r="Q165" s="83"/>
      <c r="R165" s="83"/>
      <c r="S165" s="83"/>
      <c r="T165" s="83"/>
      <c r="U165" s="83"/>
      <c r="V165" s="83"/>
      <c r="W165" s="83"/>
      <c r="X165" s="83"/>
      <c r="Y165" s="83"/>
      <c r="Z165" s="83"/>
      <c r="AA165" s="83"/>
      <c r="AB165" s="83"/>
      <c r="AC165" s="83"/>
      <c r="AD165" s="83"/>
      <c r="AE165" s="83"/>
      <c r="AF165" s="83"/>
      <c r="AG165" s="83"/>
      <c r="AH165" s="83"/>
      <c r="AI165" s="83"/>
      <c r="AJ165" s="83"/>
      <c r="AK165" s="83"/>
      <c r="AL165" s="83"/>
      <c r="AM165" s="83"/>
      <c r="AN165" s="83"/>
      <c r="AO165" s="83"/>
      <c r="AP165" s="83"/>
      <c r="AQ165" s="83"/>
      <c r="AR165" s="83"/>
      <c r="AS165" s="83"/>
      <c r="AT165" s="83"/>
      <c r="AU165" s="83"/>
    </row>
    <row r="166" spans="1:47" x14ac:dyDescent="0.3">
      <c r="A166" s="80"/>
      <c r="B166" s="80"/>
      <c r="C166" s="80"/>
      <c r="D166" s="83"/>
      <c r="E166" s="117" t="s">
        <v>150</v>
      </c>
      <c r="F166" s="83"/>
      <c r="G166" s="83"/>
      <c r="H166" s="83"/>
      <c r="I166" s="83"/>
      <c r="J166" s="83"/>
      <c r="K166" s="83"/>
      <c r="L166" s="83"/>
      <c r="M166" s="83"/>
      <c r="N166" s="83"/>
      <c r="O166" s="83"/>
      <c r="P166" s="83"/>
      <c r="Q166" s="83"/>
      <c r="R166" s="83"/>
      <c r="S166" s="83"/>
      <c r="T166" s="83"/>
      <c r="U166" s="83"/>
      <c r="V166" s="83"/>
      <c r="W166" s="83"/>
      <c r="X166" s="83"/>
      <c r="Y166" s="83"/>
      <c r="Z166" s="83"/>
      <c r="AA166" s="83"/>
      <c r="AB166" s="83"/>
      <c r="AC166" s="83"/>
      <c r="AD166" s="83"/>
      <c r="AE166" s="83"/>
      <c r="AF166" s="83"/>
      <c r="AG166" s="83"/>
      <c r="AH166" s="83"/>
      <c r="AI166" s="83"/>
      <c r="AJ166" s="83"/>
      <c r="AK166" s="83"/>
      <c r="AL166" s="83"/>
      <c r="AM166" s="83"/>
      <c r="AN166" s="83"/>
      <c r="AO166" s="83"/>
      <c r="AP166" s="83"/>
      <c r="AQ166" s="83"/>
      <c r="AR166" s="83"/>
      <c r="AS166" s="83"/>
    </row>
    <row r="167" spans="1:47" x14ac:dyDescent="0.3">
      <c r="A167" s="80"/>
      <c r="B167" s="80"/>
      <c r="C167" s="80"/>
      <c r="D167" s="83"/>
      <c r="E167" s="83"/>
      <c r="F167" s="83"/>
      <c r="G167" s="83"/>
      <c r="H167" s="83"/>
      <c r="I167" s="83"/>
      <c r="J167" s="83"/>
      <c r="K167" s="83"/>
      <c r="L167" s="83"/>
      <c r="M167" s="83"/>
      <c r="N167" s="83"/>
      <c r="O167" s="83"/>
      <c r="P167" s="83"/>
      <c r="Q167" s="83"/>
      <c r="R167" s="83"/>
      <c r="S167" s="83"/>
      <c r="T167" s="83"/>
      <c r="U167" s="83"/>
      <c r="V167" s="83"/>
      <c r="W167" s="83"/>
      <c r="X167" s="83"/>
      <c r="Y167" s="83"/>
      <c r="Z167" s="83"/>
      <c r="AA167" s="83"/>
      <c r="AB167" s="83"/>
      <c r="AC167" s="83"/>
      <c r="AD167" s="83"/>
      <c r="AE167" s="83"/>
      <c r="AF167" s="83"/>
      <c r="AG167" s="83"/>
      <c r="AH167" s="83"/>
      <c r="AI167" s="83"/>
      <c r="AJ167" s="83"/>
      <c r="AK167" s="83"/>
      <c r="AL167" s="83"/>
      <c r="AM167" s="83"/>
      <c r="AN167" s="83"/>
      <c r="AO167" s="83"/>
      <c r="AP167" s="83"/>
      <c r="AQ167" s="83"/>
      <c r="AR167" s="83"/>
      <c r="AS167" s="83"/>
    </row>
    <row r="168" spans="1:47" x14ac:dyDescent="0.3">
      <c r="A168" s="80"/>
      <c r="B168" s="80"/>
      <c r="C168" s="80"/>
      <c r="D168" s="83"/>
      <c r="E168" s="83"/>
      <c r="F168" s="83"/>
      <c r="G168" s="83"/>
      <c r="H168" s="83"/>
      <c r="I168" s="83"/>
      <c r="J168" s="83"/>
      <c r="K168" s="83"/>
      <c r="L168" s="83"/>
      <c r="M168" s="83"/>
      <c r="N168" s="83"/>
      <c r="O168" s="83"/>
      <c r="P168" s="83"/>
      <c r="Q168" s="83"/>
      <c r="R168" s="83"/>
      <c r="S168" s="83"/>
      <c r="T168" s="83"/>
      <c r="U168" s="83"/>
      <c r="V168" s="83"/>
      <c r="W168" s="83"/>
      <c r="X168" s="83"/>
      <c r="Y168" s="83"/>
      <c r="Z168" s="83"/>
      <c r="AA168" s="83"/>
      <c r="AB168" s="83"/>
      <c r="AC168" s="83"/>
      <c r="AD168" s="83"/>
      <c r="AE168" s="83"/>
      <c r="AF168" s="83"/>
      <c r="AG168" s="83"/>
      <c r="AH168" s="83"/>
      <c r="AI168" s="83"/>
      <c r="AJ168" s="83"/>
      <c r="AK168" s="83"/>
      <c r="AL168" s="83"/>
      <c r="AM168" s="83"/>
      <c r="AN168" s="83"/>
      <c r="AO168" s="83"/>
      <c r="AP168" s="83"/>
      <c r="AQ168" s="83"/>
      <c r="AR168" s="83"/>
      <c r="AS168" s="83"/>
    </row>
    <row r="169" spans="1:47" x14ac:dyDescent="0.3">
      <c r="A169" s="80"/>
      <c r="B169" s="80"/>
      <c r="C169" s="80"/>
      <c r="D169" s="83"/>
      <c r="E169" s="83"/>
      <c r="F169" s="83"/>
      <c r="G169" s="83"/>
      <c r="H169" s="83"/>
      <c r="I169" s="83"/>
      <c r="J169" s="83"/>
      <c r="K169" s="83"/>
      <c r="L169" s="83"/>
      <c r="M169" s="83"/>
      <c r="N169" s="83"/>
      <c r="O169" s="83"/>
      <c r="P169" s="83"/>
      <c r="Q169" s="83"/>
      <c r="R169" s="83"/>
      <c r="S169" s="83"/>
      <c r="T169" s="83"/>
      <c r="U169" s="83"/>
      <c r="V169" s="83"/>
      <c r="W169" s="83"/>
      <c r="X169" s="83"/>
      <c r="Y169" s="83"/>
      <c r="Z169" s="83"/>
      <c r="AA169" s="83"/>
      <c r="AB169" s="83"/>
      <c r="AC169" s="83"/>
      <c r="AD169" s="83"/>
      <c r="AE169" s="83"/>
      <c r="AF169" s="83"/>
      <c r="AG169" s="83"/>
      <c r="AH169" s="83"/>
      <c r="AI169" s="83"/>
      <c r="AJ169" s="83"/>
      <c r="AK169" s="83"/>
      <c r="AL169" s="83"/>
      <c r="AM169" s="83"/>
      <c r="AN169" s="83"/>
      <c r="AO169" s="83"/>
      <c r="AP169" s="83"/>
      <c r="AQ169" s="83"/>
      <c r="AR169" s="83"/>
      <c r="AS169" s="83"/>
    </row>
    <row r="170" spans="1:47" ht="18.600000000000001" thickBot="1" x14ac:dyDescent="0.4">
      <c r="A170" s="80"/>
      <c r="B170" s="80"/>
      <c r="C170" s="80"/>
      <c r="D170" s="83"/>
      <c r="E170" s="85" t="s">
        <v>151</v>
      </c>
      <c r="F170" s="86"/>
      <c r="G170" s="86"/>
      <c r="H170" s="86"/>
      <c r="I170" s="86"/>
      <c r="J170" s="86"/>
      <c r="K170" s="86"/>
      <c r="L170" s="86"/>
      <c r="M170" s="86"/>
      <c r="N170" s="86"/>
      <c r="O170" s="86"/>
      <c r="P170" s="86"/>
      <c r="Q170" s="86"/>
      <c r="R170" s="86"/>
      <c r="S170" s="86"/>
      <c r="T170" s="86"/>
      <c r="U170" s="86"/>
      <c r="V170" s="86"/>
      <c r="W170" s="86"/>
      <c r="X170" s="86"/>
      <c r="Y170" s="86"/>
      <c r="Z170" s="86"/>
      <c r="AA170" s="86"/>
      <c r="AB170" s="86"/>
      <c r="AC170" s="86"/>
      <c r="AD170" s="86"/>
      <c r="AE170" s="86"/>
      <c r="AF170" s="86"/>
      <c r="AG170" s="86"/>
      <c r="AH170" s="86"/>
      <c r="AI170" s="86"/>
      <c r="AJ170" s="86"/>
      <c r="AK170" s="86"/>
      <c r="AL170" s="86"/>
      <c r="AM170" s="86"/>
      <c r="AN170" s="86"/>
      <c r="AO170" s="86"/>
      <c r="AP170" s="86"/>
      <c r="AQ170" s="86"/>
      <c r="AR170" s="86"/>
      <c r="AS170" s="86"/>
    </row>
    <row r="171" spans="1:47" ht="18" x14ac:dyDescent="0.35">
      <c r="A171" s="80"/>
      <c r="B171" s="80"/>
      <c r="C171" s="80"/>
      <c r="D171" s="83"/>
      <c r="E171" s="123"/>
      <c r="F171" s="83"/>
      <c r="G171" s="83"/>
      <c r="H171" s="83"/>
      <c r="I171" s="83"/>
      <c r="J171" s="83"/>
      <c r="K171" s="83"/>
      <c r="L171" s="83"/>
      <c r="M171" s="83"/>
      <c r="N171" s="83"/>
      <c r="O171" s="83"/>
      <c r="P171" s="83"/>
      <c r="Q171" s="83"/>
      <c r="R171" s="83"/>
      <c r="S171" s="83"/>
      <c r="T171" s="83"/>
      <c r="U171" s="83"/>
      <c r="V171" s="83"/>
      <c r="W171" s="83"/>
      <c r="X171" s="83"/>
      <c r="Y171" s="83"/>
      <c r="Z171" s="83"/>
      <c r="AA171" s="83"/>
      <c r="AB171" s="83"/>
      <c r="AC171" s="83"/>
      <c r="AD171" s="83"/>
      <c r="AE171" s="83"/>
      <c r="AF171" s="83"/>
      <c r="AG171" s="83"/>
      <c r="AH171" s="83"/>
      <c r="AI171" s="83"/>
      <c r="AJ171" s="83"/>
      <c r="AK171" s="83"/>
      <c r="AL171" s="83"/>
      <c r="AM171" s="83"/>
      <c r="AN171" s="83"/>
      <c r="AO171" s="83"/>
      <c r="AP171" s="83"/>
      <c r="AQ171" s="83"/>
      <c r="AR171" s="83"/>
      <c r="AS171" s="83"/>
    </row>
    <row r="172" spans="1:47" ht="15" thickBot="1" x14ac:dyDescent="0.35">
      <c r="A172" s="80"/>
      <c r="B172" s="80"/>
      <c r="C172" s="80"/>
      <c r="D172" s="83"/>
      <c r="E172" s="83"/>
      <c r="F172" s="190" t="s">
        <v>152</v>
      </c>
      <c r="G172" s="190"/>
      <c r="H172" s="190"/>
      <c r="I172" s="190"/>
      <c r="J172" s="83"/>
      <c r="K172" s="83"/>
      <c r="L172" s="83"/>
      <c r="M172" s="83"/>
      <c r="N172" s="83"/>
      <c r="O172" s="83"/>
      <c r="P172" s="83"/>
      <c r="Q172" s="83"/>
      <c r="R172" s="83"/>
      <c r="S172" s="83"/>
      <c r="T172" s="83"/>
      <c r="U172" s="83"/>
      <c r="V172" s="83"/>
      <c r="W172" s="83"/>
      <c r="X172" s="83"/>
      <c r="Y172" s="83"/>
      <c r="Z172" s="83"/>
      <c r="AA172" s="83"/>
      <c r="AB172" s="83"/>
      <c r="AC172" s="83"/>
      <c r="AD172" s="83"/>
      <c r="AE172" s="83"/>
      <c r="AF172" s="83"/>
      <c r="AG172" s="83"/>
      <c r="AH172" s="83"/>
      <c r="AI172" s="83"/>
      <c r="AJ172" s="83"/>
      <c r="AK172" s="83"/>
      <c r="AL172" s="83"/>
      <c r="AM172" s="83"/>
      <c r="AN172" s="83"/>
      <c r="AO172" s="83"/>
      <c r="AP172" s="83"/>
      <c r="AQ172" s="83"/>
      <c r="AR172" s="83"/>
      <c r="AS172" s="83"/>
    </row>
    <row r="173" spans="1:47" ht="57.6" x14ac:dyDescent="0.3">
      <c r="A173" s="80"/>
      <c r="B173" s="80"/>
      <c r="C173" s="80"/>
      <c r="D173" s="83"/>
      <c r="E173" s="83"/>
      <c r="F173" s="98" t="s">
        <v>153</v>
      </c>
      <c r="G173" s="98" t="s">
        <v>154</v>
      </c>
      <c r="H173" s="98" t="s">
        <v>155</v>
      </c>
      <c r="I173" s="98" t="s">
        <v>156</v>
      </c>
      <c r="J173" s="83"/>
      <c r="K173" s="98" t="s">
        <v>157</v>
      </c>
      <c r="L173" s="98" t="s">
        <v>158</v>
      </c>
      <c r="M173" s="98" t="s">
        <v>158</v>
      </c>
      <c r="N173" s="98" t="s">
        <v>159</v>
      </c>
      <c r="O173" s="98" t="s">
        <v>160</v>
      </c>
      <c r="P173" s="83"/>
      <c r="Q173" s="83"/>
      <c r="R173" s="83"/>
      <c r="S173" s="83"/>
      <c r="T173" s="83"/>
      <c r="U173" s="83"/>
      <c r="V173" s="83"/>
      <c r="W173" s="83"/>
      <c r="X173" s="83"/>
      <c r="Y173" s="83"/>
      <c r="Z173" s="83"/>
      <c r="AA173" s="83"/>
      <c r="AB173" s="83"/>
      <c r="AC173" s="83"/>
      <c r="AD173" s="83"/>
      <c r="AE173" s="83"/>
      <c r="AF173" s="83"/>
      <c r="AG173" s="83"/>
      <c r="AH173" s="83"/>
      <c r="AI173" s="83"/>
      <c r="AJ173" s="83"/>
      <c r="AK173" s="83"/>
      <c r="AL173" s="83"/>
      <c r="AM173" s="83"/>
      <c r="AN173" s="83"/>
      <c r="AO173" s="83"/>
      <c r="AP173" s="83"/>
      <c r="AQ173" s="83"/>
      <c r="AR173" s="83"/>
      <c r="AS173" s="83"/>
      <c r="AT173" s="83"/>
      <c r="AU173" s="83"/>
    </row>
    <row r="174" spans="1:47" x14ac:dyDescent="0.3">
      <c r="A174" s="80"/>
      <c r="B174" s="80"/>
      <c r="C174" s="80"/>
      <c r="D174" s="83"/>
      <c r="E174" s="83" t="str">
        <f t="shared" ref="E174:E180" si="5">E130</f>
        <v>Xydalba</v>
      </c>
      <c r="F174" s="73">
        <v>0</v>
      </c>
      <c r="G174" s="73">
        <v>0</v>
      </c>
      <c r="H174" s="73">
        <v>0</v>
      </c>
      <c r="I174" s="73">
        <v>0</v>
      </c>
      <c r="J174" s="83"/>
      <c r="K174" s="75"/>
      <c r="L174" s="142"/>
      <c r="M174" s="142"/>
      <c r="N174" s="129"/>
      <c r="O174" s="129"/>
      <c r="P174" s="83"/>
      <c r="Q174" s="83"/>
      <c r="R174" s="83"/>
      <c r="S174" s="83"/>
      <c r="T174" s="83"/>
      <c r="U174" s="83"/>
      <c r="V174" s="83"/>
      <c r="W174" s="83"/>
      <c r="X174" s="83"/>
      <c r="Y174" s="83"/>
      <c r="Z174" s="83"/>
      <c r="AA174" s="83"/>
      <c r="AB174" s="83"/>
      <c r="AC174" s="83"/>
      <c r="AD174" s="83"/>
      <c r="AE174" s="83"/>
      <c r="AF174" s="83"/>
      <c r="AG174" s="83"/>
      <c r="AH174" s="83"/>
      <c r="AI174" s="83"/>
      <c r="AJ174" s="83"/>
      <c r="AK174" s="83"/>
      <c r="AL174" s="83"/>
      <c r="AM174" s="83"/>
      <c r="AN174" s="83"/>
      <c r="AO174" s="83"/>
      <c r="AP174" s="83"/>
      <c r="AQ174" s="83"/>
      <c r="AR174" s="83"/>
      <c r="AS174" s="83"/>
      <c r="AT174" s="83"/>
      <c r="AU174" s="83"/>
    </row>
    <row r="175" spans="1:47" x14ac:dyDescent="0.3">
      <c r="A175" s="80"/>
      <c r="B175" s="80"/>
      <c r="C175" s="80"/>
      <c r="D175" s="83"/>
      <c r="E175" s="83" t="str">
        <f t="shared" si="5"/>
        <v>Vancomycin IV</v>
      </c>
      <c r="F175" s="73">
        <v>1</v>
      </c>
      <c r="G175" s="73">
        <v>1</v>
      </c>
      <c r="H175" s="73">
        <v>0</v>
      </c>
      <c r="I175" s="73">
        <v>1</v>
      </c>
      <c r="J175" s="124"/>
      <c r="K175" s="75"/>
      <c r="L175" s="142"/>
      <c r="M175" s="142"/>
      <c r="N175" s="129"/>
      <c r="O175" s="129"/>
      <c r="P175" s="83"/>
      <c r="Q175" s="83"/>
      <c r="R175" s="83"/>
      <c r="S175" s="83"/>
      <c r="T175" s="83"/>
      <c r="U175" s="83"/>
      <c r="V175" s="83"/>
      <c r="W175" s="83"/>
      <c r="X175" s="83"/>
      <c r="Y175" s="83"/>
      <c r="Z175" s="83"/>
      <c r="AA175" s="83"/>
      <c r="AB175" s="83"/>
      <c r="AC175" s="83"/>
      <c r="AD175" s="83"/>
      <c r="AE175" s="83"/>
      <c r="AF175" s="83"/>
      <c r="AG175" s="83"/>
      <c r="AH175" s="83"/>
      <c r="AI175" s="83"/>
      <c r="AJ175" s="83"/>
      <c r="AK175" s="83"/>
      <c r="AL175" s="83"/>
      <c r="AM175" s="83"/>
      <c r="AN175" s="83"/>
      <c r="AO175" s="83"/>
      <c r="AP175" s="83"/>
      <c r="AQ175" s="83"/>
      <c r="AR175" s="83"/>
      <c r="AS175" s="83"/>
      <c r="AT175" s="83"/>
      <c r="AU175" s="83"/>
    </row>
    <row r="176" spans="1:47" x14ac:dyDescent="0.3">
      <c r="A176" s="80"/>
      <c r="B176" s="80"/>
      <c r="C176" s="80"/>
      <c r="D176" s="83"/>
      <c r="E176" s="83" t="str">
        <f t="shared" si="5"/>
        <v>Linezolid IV</v>
      </c>
      <c r="F176" s="73">
        <v>1</v>
      </c>
      <c r="G176" s="73">
        <v>0</v>
      </c>
      <c r="H176" s="73">
        <v>1</v>
      </c>
      <c r="I176" s="73">
        <v>0</v>
      </c>
      <c r="J176" s="124"/>
      <c r="K176" s="75"/>
      <c r="L176" s="142"/>
      <c r="M176" s="142"/>
      <c r="N176" s="129"/>
      <c r="O176" s="129"/>
      <c r="P176" s="83"/>
      <c r="Q176" s="83"/>
      <c r="R176" s="83"/>
      <c r="S176" s="83"/>
      <c r="T176" s="83"/>
      <c r="U176" s="83"/>
      <c r="V176" s="83"/>
      <c r="W176" s="83"/>
      <c r="X176" s="83"/>
      <c r="Y176" s="83"/>
      <c r="Z176" s="83"/>
      <c r="AA176" s="83"/>
      <c r="AB176" s="83"/>
      <c r="AC176" s="83"/>
      <c r="AD176" s="83"/>
      <c r="AE176" s="83"/>
      <c r="AF176" s="83"/>
      <c r="AG176" s="83"/>
      <c r="AH176" s="83"/>
      <c r="AI176" s="83"/>
      <c r="AJ176" s="83"/>
      <c r="AK176" s="83"/>
      <c r="AL176" s="83"/>
      <c r="AM176" s="83"/>
      <c r="AN176" s="83"/>
      <c r="AO176" s="83"/>
      <c r="AP176" s="83"/>
      <c r="AQ176" s="83"/>
      <c r="AR176" s="83"/>
      <c r="AS176" s="83"/>
      <c r="AT176" s="83"/>
      <c r="AU176" s="83"/>
    </row>
    <row r="177" spans="1:47" x14ac:dyDescent="0.3">
      <c r="A177" s="80"/>
      <c r="B177" s="80"/>
      <c r="C177" s="80"/>
      <c r="D177" s="83"/>
      <c r="E177" s="83" t="str">
        <f t="shared" si="5"/>
        <v>Daptomycin</v>
      </c>
      <c r="F177" s="73">
        <v>1</v>
      </c>
      <c r="G177" s="73">
        <v>1</v>
      </c>
      <c r="H177" s="73">
        <v>0</v>
      </c>
      <c r="I177" s="73">
        <v>0</v>
      </c>
      <c r="J177" s="83"/>
      <c r="K177" s="75"/>
      <c r="L177" s="142"/>
      <c r="M177" s="142"/>
      <c r="N177" s="129"/>
      <c r="O177" s="129"/>
      <c r="P177" s="83"/>
      <c r="Q177" s="83"/>
      <c r="R177" s="83"/>
      <c r="S177" s="83"/>
      <c r="T177" s="83"/>
      <c r="U177" s="83"/>
      <c r="V177" s="83"/>
      <c r="W177" s="83"/>
      <c r="X177" s="83"/>
      <c r="Y177" s="83"/>
      <c r="Z177" s="83"/>
      <c r="AA177" s="83"/>
      <c r="AB177" s="83"/>
      <c r="AC177" s="83"/>
      <c r="AD177" s="83"/>
      <c r="AE177" s="83"/>
      <c r="AF177" s="83"/>
      <c r="AG177" s="83"/>
      <c r="AH177" s="83"/>
      <c r="AI177" s="83"/>
      <c r="AJ177" s="83"/>
      <c r="AK177" s="83"/>
      <c r="AL177" s="83"/>
      <c r="AM177" s="83"/>
      <c r="AN177" s="83"/>
      <c r="AO177" s="83"/>
      <c r="AP177" s="83"/>
      <c r="AQ177" s="83"/>
      <c r="AR177" s="83"/>
      <c r="AS177" s="83"/>
      <c r="AT177" s="83"/>
      <c r="AU177" s="83"/>
    </row>
    <row r="178" spans="1:47" x14ac:dyDescent="0.3">
      <c r="A178" s="80"/>
      <c r="B178" s="80"/>
      <c r="C178" s="80"/>
      <c r="D178" s="83"/>
      <c r="E178" s="83" t="str">
        <f t="shared" si="5"/>
        <v>Cefazolin IV</v>
      </c>
      <c r="F178" s="73">
        <v>1</v>
      </c>
      <c r="G178" s="73">
        <v>1</v>
      </c>
      <c r="H178" s="73">
        <v>0</v>
      </c>
      <c r="I178" s="73">
        <v>0</v>
      </c>
      <c r="J178" s="83"/>
      <c r="K178" s="75"/>
      <c r="L178" s="142"/>
      <c r="M178" s="142"/>
      <c r="N178" s="129"/>
      <c r="O178" s="129"/>
      <c r="P178" s="83"/>
      <c r="Q178" s="83"/>
      <c r="R178" s="83"/>
      <c r="S178" s="83"/>
      <c r="T178" s="83"/>
      <c r="U178" s="83"/>
      <c r="V178" s="83"/>
      <c r="W178" s="83"/>
      <c r="X178" s="83"/>
      <c r="Y178" s="83"/>
      <c r="Z178" s="83"/>
      <c r="AA178" s="83"/>
      <c r="AB178" s="83"/>
      <c r="AC178" s="83"/>
      <c r="AD178" s="83"/>
      <c r="AE178" s="83"/>
      <c r="AF178" s="83"/>
      <c r="AG178" s="83"/>
      <c r="AH178" s="83"/>
      <c r="AI178" s="83"/>
      <c r="AJ178" s="83"/>
      <c r="AK178" s="83"/>
      <c r="AL178" s="83"/>
      <c r="AM178" s="83"/>
      <c r="AN178" s="83"/>
      <c r="AO178" s="83"/>
      <c r="AP178" s="83"/>
      <c r="AQ178" s="83"/>
      <c r="AR178" s="83"/>
      <c r="AS178" s="83"/>
      <c r="AT178" s="83"/>
      <c r="AU178" s="83"/>
    </row>
    <row r="179" spans="1:47" x14ac:dyDescent="0.3">
      <c r="A179" s="80"/>
      <c r="B179" s="80"/>
      <c r="C179" s="80"/>
      <c r="D179" s="83"/>
      <c r="E179" s="83" t="str">
        <f t="shared" si="5"/>
        <v>Ceftriaxone IV</v>
      </c>
      <c r="F179" s="73">
        <v>1</v>
      </c>
      <c r="G179" s="73">
        <v>1</v>
      </c>
      <c r="H179" s="73">
        <v>1</v>
      </c>
      <c r="I179" s="73">
        <v>0</v>
      </c>
      <c r="J179" s="83"/>
      <c r="K179" s="75"/>
      <c r="L179" s="142"/>
      <c r="M179" s="142"/>
      <c r="N179" s="129"/>
      <c r="O179" s="129"/>
      <c r="P179" s="83"/>
      <c r="Q179" s="83"/>
      <c r="R179" s="83"/>
      <c r="S179" s="83"/>
      <c r="T179" s="83"/>
      <c r="U179" s="83"/>
      <c r="V179" s="83"/>
      <c r="W179" s="83"/>
      <c r="X179" s="83"/>
      <c r="Y179" s="83"/>
      <c r="Z179" s="83"/>
      <c r="AA179" s="83"/>
      <c r="AB179" s="83"/>
      <c r="AC179" s="83"/>
      <c r="AD179" s="83"/>
      <c r="AE179" s="83"/>
      <c r="AF179" s="83"/>
      <c r="AG179" s="83"/>
      <c r="AH179" s="83"/>
      <c r="AI179" s="83"/>
      <c r="AJ179" s="83"/>
      <c r="AK179" s="83"/>
      <c r="AL179" s="83"/>
      <c r="AM179" s="83"/>
      <c r="AN179" s="83"/>
      <c r="AO179" s="83"/>
      <c r="AP179" s="83"/>
      <c r="AQ179" s="83"/>
      <c r="AR179" s="83"/>
      <c r="AS179" s="83"/>
      <c r="AT179" s="83"/>
      <c r="AU179" s="83"/>
    </row>
    <row r="180" spans="1:47" x14ac:dyDescent="0.3">
      <c r="A180" s="80"/>
      <c r="B180" s="80"/>
      <c r="C180" s="80"/>
      <c r="D180" s="83"/>
      <c r="E180" s="83" t="str">
        <f t="shared" si="5"/>
        <v>Other</v>
      </c>
      <c r="F180" s="73">
        <v>0</v>
      </c>
      <c r="G180" s="73">
        <v>0</v>
      </c>
      <c r="H180" s="73">
        <v>0</v>
      </c>
      <c r="I180" s="73">
        <v>0</v>
      </c>
      <c r="J180" s="83"/>
      <c r="K180" s="75"/>
      <c r="L180" s="142"/>
      <c r="M180" s="142"/>
      <c r="N180" s="129"/>
      <c r="O180" s="129"/>
      <c r="P180" s="83"/>
      <c r="Q180" s="83"/>
      <c r="R180" s="83"/>
      <c r="S180" s="83"/>
      <c r="T180" s="83"/>
      <c r="U180" s="83"/>
      <c r="V180" s="83"/>
      <c r="W180" s="83"/>
      <c r="X180" s="83"/>
      <c r="Y180" s="83"/>
      <c r="Z180" s="83"/>
      <c r="AA180" s="83"/>
      <c r="AB180" s="83"/>
      <c r="AC180" s="83"/>
      <c r="AD180" s="83"/>
      <c r="AE180" s="83"/>
      <c r="AF180" s="83"/>
      <c r="AG180" s="83"/>
      <c r="AH180" s="83"/>
      <c r="AI180" s="83"/>
      <c r="AJ180" s="83"/>
      <c r="AK180" s="83"/>
      <c r="AL180" s="83"/>
      <c r="AM180" s="83"/>
      <c r="AN180" s="83"/>
      <c r="AO180" s="83"/>
      <c r="AP180" s="83"/>
      <c r="AQ180" s="83"/>
      <c r="AR180" s="83"/>
      <c r="AS180" s="83"/>
      <c r="AT180" s="83"/>
      <c r="AU180" s="83"/>
    </row>
    <row r="181" spans="1:47" x14ac:dyDescent="0.3">
      <c r="A181" s="80"/>
      <c r="B181" s="80"/>
      <c r="C181" s="80"/>
      <c r="D181" s="83"/>
      <c r="E181" s="83"/>
      <c r="F181" s="105"/>
      <c r="G181" s="105"/>
      <c r="H181" s="105"/>
      <c r="I181" s="105"/>
      <c r="J181" s="83"/>
      <c r="K181" s="83"/>
      <c r="L181" s="83"/>
      <c r="M181" s="83"/>
      <c r="N181" s="83"/>
      <c r="O181" s="83"/>
      <c r="P181" s="83"/>
      <c r="Q181" s="83"/>
      <c r="R181" s="83"/>
      <c r="S181" s="83"/>
      <c r="T181" s="83"/>
      <c r="U181" s="83"/>
      <c r="V181" s="83"/>
      <c r="W181" s="83"/>
      <c r="X181" s="83"/>
      <c r="Y181" s="83"/>
      <c r="Z181" s="83"/>
      <c r="AA181" s="83"/>
      <c r="AB181" s="83"/>
      <c r="AC181" s="83"/>
      <c r="AD181" s="83"/>
      <c r="AE181" s="83"/>
      <c r="AF181" s="83"/>
      <c r="AG181" s="83"/>
      <c r="AH181" s="83"/>
      <c r="AI181" s="83"/>
      <c r="AJ181" s="83"/>
      <c r="AK181" s="83"/>
      <c r="AL181" s="83"/>
      <c r="AM181" s="83"/>
      <c r="AN181" s="83"/>
      <c r="AO181" s="83"/>
      <c r="AP181" s="83"/>
      <c r="AQ181" s="83"/>
      <c r="AR181" s="83"/>
      <c r="AS181" s="83"/>
    </row>
    <row r="182" spans="1:47" x14ac:dyDescent="0.3">
      <c r="A182" s="80"/>
      <c r="B182" s="80"/>
      <c r="C182" s="80"/>
      <c r="D182" s="83"/>
      <c r="E182" s="83" t="s">
        <v>162</v>
      </c>
      <c r="F182" s="78">
        <f>List!C34/List!$B75*List!$B83</f>
        <v>4.4198788796366388</v>
      </c>
      <c r="G182" s="78">
        <f>List!C35/List!$B75*List!$B83</f>
        <v>10.971960635881906</v>
      </c>
      <c r="H182" s="78">
        <f>List!C36/List!$B75*List!$B83</f>
        <v>5.6858743376230123</v>
      </c>
      <c r="I182" s="78">
        <f>List!C37/List!$B75*List!$B83</f>
        <v>16.191415594246784</v>
      </c>
      <c r="J182" s="83"/>
      <c r="K182" s="83"/>
      <c r="L182" s="83"/>
      <c r="M182" s="83"/>
      <c r="N182" s="83"/>
      <c r="O182" s="83"/>
      <c r="P182" s="83"/>
      <c r="Q182" s="83"/>
      <c r="R182" s="83"/>
      <c r="S182" s="83"/>
      <c r="T182" s="83"/>
      <c r="U182" s="83"/>
      <c r="V182" s="83"/>
      <c r="W182" s="83"/>
      <c r="X182" s="83"/>
      <c r="Y182" s="83"/>
      <c r="Z182" s="83"/>
      <c r="AA182" s="83"/>
      <c r="AB182" s="83"/>
      <c r="AC182" s="83"/>
      <c r="AD182" s="83"/>
      <c r="AE182" s="83"/>
      <c r="AF182" s="83"/>
      <c r="AG182" s="83"/>
      <c r="AH182" s="83"/>
      <c r="AI182" s="83"/>
      <c r="AJ182" s="83"/>
      <c r="AK182" s="83"/>
      <c r="AL182" s="83"/>
      <c r="AM182" s="83"/>
      <c r="AN182" s="83"/>
      <c r="AO182" s="83"/>
      <c r="AP182" s="83"/>
      <c r="AQ182" s="83"/>
      <c r="AR182" s="83"/>
      <c r="AS182" s="83"/>
    </row>
    <row r="183" spans="1:47" x14ac:dyDescent="0.3">
      <c r="A183" s="80"/>
      <c r="B183" s="80"/>
      <c r="C183" s="80"/>
      <c r="D183" s="83"/>
      <c r="E183" s="117" t="s">
        <v>163</v>
      </c>
      <c r="F183" s="83"/>
      <c r="G183" s="83"/>
      <c r="H183" s="83"/>
      <c r="I183" s="83"/>
      <c r="J183" s="83"/>
      <c r="K183" s="83"/>
      <c r="L183" s="83"/>
      <c r="M183" s="83"/>
      <c r="N183" s="83"/>
      <c r="O183" s="83"/>
      <c r="P183" s="83"/>
      <c r="Q183" s="83"/>
      <c r="R183" s="83"/>
      <c r="S183" s="83"/>
      <c r="T183" s="83"/>
      <c r="U183" s="83"/>
      <c r="V183" s="83"/>
      <c r="W183" s="83"/>
      <c r="X183" s="83"/>
      <c r="Y183" s="83"/>
      <c r="Z183" s="83"/>
      <c r="AA183" s="83"/>
      <c r="AB183" s="83"/>
      <c r="AC183" s="83"/>
      <c r="AD183" s="83"/>
      <c r="AE183" s="83"/>
      <c r="AF183" s="83"/>
      <c r="AG183" s="83"/>
      <c r="AH183" s="83"/>
      <c r="AI183" s="83"/>
      <c r="AJ183" s="83"/>
      <c r="AK183" s="83"/>
      <c r="AL183" s="83"/>
      <c r="AM183" s="83"/>
      <c r="AN183" s="83"/>
      <c r="AO183" s="83"/>
      <c r="AP183" s="83"/>
      <c r="AQ183" s="83"/>
      <c r="AR183" s="83"/>
      <c r="AS183" s="83"/>
    </row>
    <row r="184" spans="1:47" x14ac:dyDescent="0.3">
      <c r="A184" s="80"/>
      <c r="B184" s="80"/>
      <c r="C184" s="80"/>
      <c r="D184" s="83"/>
      <c r="E184" s="125" t="s">
        <v>164</v>
      </c>
      <c r="F184" s="83"/>
      <c r="G184" s="83"/>
      <c r="H184" s="83"/>
      <c r="I184" s="83"/>
      <c r="J184" s="83"/>
      <c r="K184" s="83"/>
      <c r="L184" s="83"/>
      <c r="M184" s="83"/>
      <c r="N184" s="83"/>
      <c r="O184" s="83"/>
      <c r="P184" s="83"/>
      <c r="Q184" s="83"/>
      <c r="R184" s="83"/>
      <c r="S184" s="83"/>
      <c r="T184" s="83"/>
      <c r="U184" s="83"/>
      <c r="V184" s="83"/>
      <c r="W184" s="83"/>
      <c r="X184" s="83"/>
      <c r="Y184" s="83"/>
      <c r="Z184" s="83"/>
      <c r="AA184" s="83"/>
      <c r="AB184" s="83"/>
      <c r="AC184" s="83"/>
      <c r="AD184" s="83"/>
      <c r="AE184" s="83"/>
      <c r="AF184" s="83"/>
      <c r="AG184" s="83"/>
      <c r="AH184" s="83"/>
      <c r="AI184" s="83"/>
      <c r="AJ184" s="83"/>
      <c r="AK184" s="83"/>
      <c r="AL184" s="83"/>
      <c r="AM184" s="83"/>
      <c r="AN184" s="83"/>
      <c r="AO184" s="83"/>
      <c r="AP184" s="83"/>
      <c r="AQ184" s="83"/>
      <c r="AR184" s="83"/>
      <c r="AS184" s="83"/>
    </row>
    <row r="185" spans="1:47" x14ac:dyDescent="0.3">
      <c r="A185" s="80"/>
      <c r="B185" s="80"/>
      <c r="C185" s="80"/>
      <c r="D185" s="83"/>
      <c r="E185" s="117" t="s">
        <v>165</v>
      </c>
      <c r="F185" s="83"/>
      <c r="G185" s="83"/>
      <c r="H185" s="83"/>
      <c r="I185" s="83"/>
      <c r="J185" s="83"/>
      <c r="K185" s="83"/>
      <c r="L185" s="83"/>
      <c r="M185" s="83"/>
      <c r="N185" s="83"/>
      <c r="O185" s="83"/>
      <c r="P185" s="83"/>
      <c r="Q185" s="83"/>
      <c r="R185" s="83"/>
      <c r="S185" s="83"/>
      <c r="T185" s="83"/>
      <c r="U185" s="83"/>
      <c r="V185" s="83"/>
      <c r="W185" s="83"/>
      <c r="X185" s="83"/>
      <c r="Y185" s="83"/>
      <c r="Z185" s="83"/>
      <c r="AA185" s="83"/>
      <c r="AB185" s="83"/>
      <c r="AC185" s="83"/>
      <c r="AD185" s="83"/>
      <c r="AE185" s="83"/>
      <c r="AF185" s="83"/>
      <c r="AG185" s="83"/>
      <c r="AH185" s="83"/>
      <c r="AI185" s="83"/>
      <c r="AJ185" s="83"/>
      <c r="AK185" s="83"/>
      <c r="AL185" s="83"/>
      <c r="AM185" s="83"/>
      <c r="AN185" s="83"/>
      <c r="AO185" s="83"/>
      <c r="AP185" s="83"/>
      <c r="AQ185" s="83"/>
      <c r="AR185" s="83"/>
      <c r="AS185" s="83"/>
    </row>
    <row r="186" spans="1:47" x14ac:dyDescent="0.3">
      <c r="A186" s="80"/>
      <c r="B186" s="80"/>
      <c r="C186" s="80"/>
      <c r="D186" s="83"/>
      <c r="E186" s="83"/>
      <c r="F186" s="83"/>
      <c r="G186" s="83"/>
      <c r="H186" s="83"/>
      <c r="I186" s="83"/>
      <c r="J186" s="83"/>
      <c r="K186" s="83"/>
      <c r="L186" s="83"/>
      <c r="M186" s="83"/>
      <c r="N186" s="83"/>
      <c r="O186" s="83"/>
      <c r="P186" s="83"/>
      <c r="Q186" s="83"/>
      <c r="R186" s="83"/>
      <c r="S186" s="83"/>
      <c r="T186" s="83"/>
      <c r="U186" s="83"/>
      <c r="V186" s="83"/>
      <c r="W186" s="83"/>
      <c r="X186" s="83"/>
      <c r="Y186" s="83"/>
      <c r="Z186" s="83"/>
      <c r="AA186" s="83"/>
      <c r="AB186" s="83"/>
      <c r="AC186" s="83"/>
      <c r="AD186" s="83"/>
      <c r="AE186" s="83"/>
      <c r="AF186" s="83"/>
      <c r="AG186" s="83"/>
      <c r="AH186" s="83"/>
      <c r="AI186" s="83"/>
      <c r="AJ186" s="83"/>
      <c r="AK186" s="83"/>
      <c r="AL186" s="83"/>
      <c r="AM186" s="83"/>
      <c r="AN186" s="83"/>
      <c r="AO186" s="83"/>
      <c r="AP186" s="83"/>
      <c r="AQ186" s="83"/>
      <c r="AR186" s="83"/>
      <c r="AS186" s="83"/>
    </row>
    <row r="187" spans="1:47" x14ac:dyDescent="0.3">
      <c r="A187" s="80"/>
      <c r="B187" s="80"/>
      <c r="C187" s="80"/>
      <c r="D187" s="83"/>
      <c r="E187" s="83"/>
      <c r="F187" s="83"/>
      <c r="G187" s="83"/>
      <c r="H187" s="83"/>
      <c r="I187" s="83"/>
      <c r="J187" s="83"/>
      <c r="K187" s="83"/>
      <c r="L187" s="83"/>
      <c r="M187" s="83"/>
      <c r="N187" s="83"/>
      <c r="O187" s="83"/>
      <c r="P187" s="83"/>
      <c r="Q187" s="83"/>
      <c r="R187" s="83"/>
      <c r="S187" s="83"/>
      <c r="T187" s="83"/>
      <c r="U187" s="83"/>
      <c r="V187" s="83"/>
      <c r="W187" s="83"/>
      <c r="X187" s="83"/>
      <c r="Y187" s="83"/>
      <c r="Z187" s="83"/>
      <c r="AA187" s="83"/>
      <c r="AB187" s="83"/>
      <c r="AC187" s="83"/>
      <c r="AD187" s="83"/>
      <c r="AE187" s="83"/>
      <c r="AF187" s="83"/>
      <c r="AG187" s="83"/>
      <c r="AH187" s="83"/>
      <c r="AI187" s="83"/>
      <c r="AJ187" s="83"/>
      <c r="AK187" s="83"/>
      <c r="AL187" s="83"/>
      <c r="AM187" s="83"/>
      <c r="AN187" s="83"/>
      <c r="AO187" s="83"/>
      <c r="AP187" s="83"/>
      <c r="AQ187" s="83"/>
      <c r="AR187" s="83"/>
      <c r="AS187" s="83"/>
    </row>
    <row r="188" spans="1:47" x14ac:dyDescent="0.3">
      <c r="A188" s="80"/>
      <c r="B188" s="80"/>
      <c r="C188" s="80"/>
      <c r="D188" s="83"/>
      <c r="E188" s="83"/>
      <c r="F188" s="83"/>
      <c r="G188" s="83"/>
      <c r="H188" s="83"/>
      <c r="I188" s="83"/>
      <c r="J188" s="83"/>
      <c r="K188" s="83"/>
      <c r="L188" s="83"/>
      <c r="M188" s="83"/>
      <c r="N188" s="83"/>
      <c r="O188" s="83"/>
      <c r="P188" s="83"/>
      <c r="Q188" s="83"/>
      <c r="R188" s="83"/>
      <c r="S188" s="83"/>
      <c r="T188" s="83"/>
      <c r="U188" s="83"/>
      <c r="V188" s="83"/>
      <c r="W188" s="83"/>
      <c r="X188" s="83"/>
      <c r="Y188" s="83"/>
      <c r="Z188" s="83"/>
      <c r="AA188" s="83"/>
      <c r="AB188" s="83"/>
      <c r="AC188" s="83"/>
      <c r="AD188" s="83"/>
      <c r="AE188" s="83"/>
      <c r="AF188" s="83"/>
      <c r="AG188" s="83"/>
      <c r="AH188" s="83"/>
      <c r="AI188" s="83"/>
      <c r="AJ188" s="83"/>
      <c r="AK188" s="83"/>
      <c r="AL188" s="83"/>
      <c r="AM188" s="83"/>
      <c r="AN188" s="83"/>
      <c r="AO188" s="83"/>
      <c r="AP188" s="83"/>
      <c r="AQ188" s="83"/>
      <c r="AR188" s="83"/>
      <c r="AS188" s="83"/>
    </row>
    <row r="189" spans="1:47" x14ac:dyDescent="0.3">
      <c r="A189" s="80"/>
      <c r="B189" s="80"/>
      <c r="C189" s="80"/>
      <c r="D189" s="83"/>
      <c r="E189" s="83"/>
      <c r="F189" s="83"/>
      <c r="G189" s="83"/>
      <c r="H189" s="83"/>
      <c r="I189" s="83"/>
      <c r="J189" s="83"/>
      <c r="K189" s="83"/>
      <c r="L189" s="83"/>
      <c r="M189" s="83"/>
      <c r="N189" s="83"/>
      <c r="O189" s="83"/>
      <c r="P189" s="83"/>
      <c r="Q189" s="83"/>
      <c r="R189" s="83"/>
      <c r="S189" s="83"/>
      <c r="T189" s="83"/>
      <c r="U189" s="83"/>
      <c r="V189" s="83"/>
      <c r="W189" s="83"/>
      <c r="X189" s="83"/>
      <c r="Y189" s="83"/>
      <c r="Z189" s="83"/>
      <c r="AA189" s="83"/>
      <c r="AB189" s="83"/>
      <c r="AC189" s="83"/>
      <c r="AD189" s="83"/>
      <c r="AE189" s="83"/>
      <c r="AF189" s="83"/>
      <c r="AG189" s="83"/>
      <c r="AH189" s="83"/>
      <c r="AI189" s="83"/>
      <c r="AJ189" s="83"/>
      <c r="AK189" s="83"/>
      <c r="AL189" s="83"/>
      <c r="AM189" s="83"/>
      <c r="AN189" s="83"/>
      <c r="AO189" s="83"/>
      <c r="AP189" s="83"/>
      <c r="AQ189" s="83"/>
      <c r="AR189" s="83"/>
      <c r="AS189" s="83"/>
    </row>
    <row r="190" spans="1:47" ht="18.600000000000001" thickBot="1" x14ac:dyDescent="0.4">
      <c r="A190" s="80"/>
      <c r="B190" s="80"/>
      <c r="C190" s="80"/>
      <c r="D190" s="83"/>
      <c r="E190" s="85" t="s">
        <v>166</v>
      </c>
      <c r="F190" s="86"/>
      <c r="G190" s="86"/>
      <c r="H190" s="83"/>
      <c r="I190" s="83"/>
      <c r="J190" s="83"/>
      <c r="K190" s="83"/>
      <c r="L190" s="83"/>
      <c r="M190" s="83"/>
      <c r="N190" s="83"/>
      <c r="O190" s="83"/>
      <c r="P190" s="83"/>
      <c r="Q190" s="83"/>
      <c r="R190" s="83"/>
      <c r="S190" s="83"/>
      <c r="T190" s="83"/>
      <c r="U190" s="83"/>
      <c r="V190" s="83"/>
      <c r="W190" s="83"/>
      <c r="X190" s="83"/>
      <c r="Y190" s="83"/>
      <c r="Z190" s="83"/>
      <c r="AA190" s="83"/>
      <c r="AB190" s="83"/>
      <c r="AC190" s="83"/>
      <c r="AD190" s="83"/>
      <c r="AE190" s="83"/>
      <c r="AF190" s="83"/>
      <c r="AG190" s="83"/>
      <c r="AH190" s="83"/>
      <c r="AI190" s="83"/>
      <c r="AJ190" s="83"/>
      <c r="AK190" s="83"/>
      <c r="AL190" s="83"/>
      <c r="AM190" s="83"/>
      <c r="AN190" s="83"/>
      <c r="AO190" s="83"/>
      <c r="AP190" s="83"/>
      <c r="AQ190" s="83"/>
      <c r="AR190" s="83"/>
      <c r="AS190" s="83"/>
    </row>
    <row r="191" spans="1:47" x14ac:dyDescent="0.3">
      <c r="A191" s="80"/>
      <c r="B191" s="80"/>
      <c r="C191" s="80"/>
      <c r="D191" s="83"/>
      <c r="E191" s="83"/>
      <c r="F191" s="83"/>
      <c r="G191" s="83"/>
      <c r="H191" s="83"/>
      <c r="I191" s="83"/>
      <c r="J191" s="83"/>
      <c r="K191" s="83"/>
      <c r="L191" s="83"/>
      <c r="M191" s="83"/>
      <c r="N191" s="83"/>
      <c r="O191" s="83"/>
      <c r="P191" s="83"/>
      <c r="Q191" s="83"/>
      <c r="R191" s="83"/>
      <c r="S191" s="83"/>
      <c r="T191" s="83"/>
      <c r="U191" s="83"/>
      <c r="V191" s="83"/>
      <c r="W191" s="83"/>
      <c r="X191" s="83"/>
      <c r="Y191" s="83"/>
      <c r="Z191" s="83"/>
      <c r="AA191" s="83"/>
      <c r="AB191" s="83"/>
      <c r="AC191" s="83"/>
      <c r="AD191" s="83"/>
      <c r="AE191" s="83"/>
      <c r="AF191" s="83"/>
      <c r="AG191" s="83"/>
      <c r="AH191" s="83"/>
      <c r="AI191" s="83"/>
      <c r="AJ191" s="83"/>
      <c r="AK191" s="83"/>
      <c r="AL191" s="83"/>
      <c r="AM191" s="83"/>
      <c r="AN191" s="83"/>
      <c r="AO191" s="83"/>
      <c r="AP191" s="83"/>
      <c r="AQ191" s="83"/>
      <c r="AR191" s="83"/>
      <c r="AS191" s="83"/>
    </row>
    <row r="192" spans="1:47" x14ac:dyDescent="0.3">
      <c r="A192" s="80"/>
      <c r="B192" s="80"/>
      <c r="C192" s="80"/>
      <c r="D192" s="83"/>
      <c r="E192" s="84"/>
      <c r="F192" s="84"/>
      <c r="G192" s="84"/>
      <c r="H192" s="83"/>
      <c r="I192" s="8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c r="AQ192" s="83"/>
      <c r="AR192" s="83"/>
      <c r="AS192" s="83"/>
    </row>
    <row r="193" spans="1:45" x14ac:dyDescent="0.3">
      <c r="A193" s="80"/>
      <c r="B193" s="80"/>
      <c r="C193" s="80"/>
      <c r="D193" s="83"/>
      <c r="E193" s="84" t="s">
        <v>167</v>
      </c>
      <c r="F193" s="73">
        <v>1</v>
      </c>
      <c r="G193" s="84"/>
      <c r="H193" s="83"/>
      <c r="I193" s="83"/>
      <c r="J193" s="83"/>
      <c r="K193" s="83"/>
      <c r="L193" s="83"/>
      <c r="M193" s="83"/>
      <c r="N193" s="83"/>
      <c r="O193" s="83"/>
      <c r="P193" s="83"/>
      <c r="Q193" s="83"/>
      <c r="R193" s="83"/>
      <c r="S193" s="83"/>
      <c r="T193" s="83"/>
      <c r="U193" s="83"/>
      <c r="V193" s="83"/>
      <c r="W193" s="83"/>
      <c r="X193" s="83"/>
      <c r="Y193" s="83"/>
      <c r="Z193" s="83"/>
      <c r="AA193" s="83"/>
      <c r="AB193" s="83"/>
      <c r="AC193" s="83"/>
      <c r="AD193" s="83"/>
      <c r="AE193" s="83"/>
      <c r="AF193" s="83"/>
      <c r="AG193" s="83"/>
      <c r="AH193" s="83"/>
      <c r="AI193" s="83"/>
      <c r="AJ193" s="83"/>
      <c r="AK193" s="83"/>
      <c r="AL193" s="83"/>
      <c r="AM193" s="83"/>
      <c r="AN193" s="83"/>
      <c r="AO193" s="83"/>
      <c r="AP193" s="83"/>
      <c r="AQ193" s="83"/>
      <c r="AR193" s="83"/>
      <c r="AS193" s="83"/>
    </row>
    <row r="194" spans="1:45" x14ac:dyDescent="0.3">
      <c r="A194" s="80"/>
      <c r="B194" s="80"/>
      <c r="C194" s="80"/>
      <c r="D194" s="83"/>
      <c r="E194" s="83"/>
      <c r="F194" s="83"/>
      <c r="G194" s="83"/>
      <c r="H194" s="83"/>
      <c r="I194" s="83"/>
      <c r="J194" s="83"/>
      <c r="K194" s="83"/>
      <c r="L194" s="83"/>
      <c r="M194" s="83"/>
      <c r="N194" s="83"/>
      <c r="O194" s="83"/>
      <c r="P194" s="83"/>
      <c r="Q194" s="83"/>
      <c r="R194" s="83"/>
      <c r="S194" s="83"/>
      <c r="T194" s="83"/>
      <c r="U194" s="83"/>
      <c r="V194" s="83"/>
      <c r="W194" s="83"/>
      <c r="X194" s="83"/>
      <c r="Y194" s="83"/>
      <c r="Z194" s="83"/>
      <c r="AA194" s="83"/>
      <c r="AB194" s="83"/>
      <c r="AC194" s="83"/>
      <c r="AD194" s="83"/>
      <c r="AE194" s="83"/>
      <c r="AF194" s="83"/>
      <c r="AG194" s="83"/>
      <c r="AH194" s="83"/>
      <c r="AI194" s="83"/>
      <c r="AJ194" s="83"/>
      <c r="AK194" s="83"/>
      <c r="AL194" s="83"/>
      <c r="AM194" s="83"/>
      <c r="AN194" s="83"/>
      <c r="AO194" s="83"/>
      <c r="AP194" s="83"/>
      <c r="AQ194" s="83"/>
      <c r="AR194" s="83"/>
      <c r="AS194" s="83"/>
    </row>
    <row r="195" spans="1:45" x14ac:dyDescent="0.3">
      <c r="A195" s="80"/>
      <c r="B195" s="80"/>
      <c r="C195" s="80"/>
      <c r="D195" s="83"/>
      <c r="E195" s="83"/>
      <c r="F195" s="83"/>
      <c r="G195" s="83"/>
      <c r="H195" s="83"/>
      <c r="I195" s="83"/>
      <c r="J195" s="83"/>
      <c r="K195" s="83"/>
      <c r="L195" s="83"/>
      <c r="M195" s="83"/>
      <c r="N195" s="83"/>
      <c r="O195" s="83"/>
      <c r="P195" s="83"/>
      <c r="Q195" s="83"/>
      <c r="R195" s="83"/>
      <c r="S195" s="83"/>
      <c r="T195" s="83"/>
      <c r="U195" s="83"/>
      <c r="V195" s="83"/>
      <c r="W195" s="83"/>
      <c r="X195" s="83"/>
      <c r="Y195" s="83"/>
      <c r="Z195" s="83"/>
      <c r="AA195" s="83"/>
      <c r="AB195" s="83"/>
      <c r="AC195" s="83"/>
      <c r="AD195" s="83"/>
      <c r="AE195" s="83"/>
      <c r="AF195" s="83"/>
      <c r="AG195" s="83"/>
      <c r="AH195" s="83"/>
      <c r="AI195" s="83"/>
      <c r="AJ195" s="83"/>
      <c r="AK195" s="83"/>
      <c r="AL195" s="83"/>
      <c r="AM195" s="83"/>
      <c r="AN195" s="83"/>
      <c r="AO195" s="83"/>
      <c r="AP195" s="83"/>
      <c r="AQ195" s="83"/>
      <c r="AR195" s="83"/>
      <c r="AS195" s="83"/>
    </row>
    <row r="196" spans="1:45" x14ac:dyDescent="0.3">
      <c r="A196" s="80"/>
      <c r="B196" s="80"/>
      <c r="C196" s="80"/>
      <c r="D196" s="83"/>
      <c r="E196" s="83"/>
      <c r="F196" s="83"/>
      <c r="G196" s="83"/>
      <c r="H196" s="83"/>
      <c r="I196" s="83"/>
      <c r="J196" s="83"/>
      <c r="K196" s="83"/>
      <c r="L196" s="83"/>
      <c r="M196" s="83"/>
      <c r="N196" s="83"/>
      <c r="O196" s="83"/>
      <c r="P196" s="83"/>
      <c r="Q196" s="83"/>
      <c r="R196" s="83"/>
      <c r="S196" s="83"/>
      <c r="T196" s="83"/>
      <c r="U196" s="83"/>
      <c r="V196" s="83"/>
      <c r="W196" s="83"/>
      <c r="X196" s="83"/>
      <c r="Y196" s="83"/>
      <c r="Z196" s="83"/>
      <c r="AA196" s="83"/>
      <c r="AB196" s="83"/>
      <c r="AC196" s="83"/>
      <c r="AD196" s="83"/>
      <c r="AE196" s="83"/>
      <c r="AF196" s="83"/>
      <c r="AG196" s="83"/>
      <c r="AH196" s="83"/>
      <c r="AI196" s="83"/>
      <c r="AJ196" s="83"/>
      <c r="AK196" s="83"/>
      <c r="AL196" s="83"/>
      <c r="AM196" s="83"/>
      <c r="AN196" s="83"/>
      <c r="AO196" s="83"/>
      <c r="AP196" s="83"/>
      <c r="AQ196" s="83"/>
      <c r="AR196" s="83"/>
      <c r="AS196" s="83"/>
    </row>
    <row r="197" spans="1:45" x14ac:dyDescent="0.3">
      <c r="A197" s="80"/>
      <c r="B197" s="80"/>
      <c r="C197" s="80"/>
      <c r="D197" s="83"/>
      <c r="E197" s="83"/>
      <c r="F197" s="83"/>
      <c r="G197" s="83"/>
      <c r="H197" s="83"/>
      <c r="I197" s="83"/>
      <c r="J197" s="83"/>
      <c r="K197" s="83"/>
      <c r="L197" s="83"/>
      <c r="M197" s="83"/>
      <c r="N197" s="83"/>
      <c r="O197" s="83"/>
      <c r="P197" s="83"/>
      <c r="Q197" s="83"/>
      <c r="R197" s="83"/>
      <c r="S197" s="83"/>
      <c r="T197" s="83"/>
      <c r="U197" s="83"/>
      <c r="V197" s="83"/>
      <c r="W197" s="83"/>
      <c r="X197" s="83"/>
      <c r="Y197" s="83"/>
      <c r="Z197" s="83"/>
      <c r="AA197" s="83"/>
      <c r="AB197" s="83"/>
      <c r="AC197" s="83"/>
      <c r="AD197" s="83"/>
      <c r="AE197" s="83"/>
      <c r="AF197" s="83"/>
      <c r="AG197" s="83"/>
      <c r="AH197" s="83"/>
      <c r="AI197" s="83"/>
      <c r="AJ197" s="83"/>
      <c r="AK197" s="83"/>
      <c r="AL197" s="83"/>
      <c r="AM197" s="83"/>
      <c r="AN197" s="83"/>
      <c r="AO197" s="83"/>
      <c r="AP197" s="83"/>
      <c r="AQ197" s="83"/>
      <c r="AR197" s="83"/>
      <c r="AS197" s="83"/>
    </row>
    <row r="198" spans="1:45" x14ac:dyDescent="0.3">
      <c r="A198" s="80"/>
      <c r="B198" s="80"/>
      <c r="C198" s="80"/>
      <c r="D198" s="83"/>
      <c r="E198" s="83"/>
      <c r="F198" s="83"/>
      <c r="G198" s="83"/>
      <c r="H198" s="83"/>
      <c r="I198" s="83"/>
      <c r="J198" s="83"/>
      <c r="K198" s="83"/>
      <c r="L198" s="83"/>
      <c r="M198" s="83"/>
      <c r="N198" s="83"/>
      <c r="O198" s="83"/>
      <c r="P198" s="83"/>
      <c r="Q198" s="83"/>
      <c r="R198" s="83"/>
      <c r="S198" s="83"/>
      <c r="T198" s="83"/>
      <c r="U198" s="83"/>
      <c r="V198" s="83"/>
      <c r="W198" s="83"/>
      <c r="X198" s="83"/>
      <c r="Y198" s="83"/>
      <c r="Z198" s="83"/>
      <c r="AA198" s="83"/>
      <c r="AB198" s="83"/>
      <c r="AC198" s="83"/>
      <c r="AD198" s="83"/>
      <c r="AE198" s="83"/>
      <c r="AF198" s="83"/>
      <c r="AG198" s="83"/>
      <c r="AH198" s="83"/>
      <c r="AI198" s="83"/>
      <c r="AJ198" s="83"/>
      <c r="AK198" s="83"/>
      <c r="AL198" s="83"/>
      <c r="AM198" s="83"/>
      <c r="AN198" s="83"/>
      <c r="AO198" s="83"/>
      <c r="AP198" s="83"/>
      <c r="AQ198" s="83"/>
      <c r="AR198" s="83"/>
      <c r="AS198" s="83"/>
    </row>
    <row r="199" spans="1:45" x14ac:dyDescent="0.3">
      <c r="A199" s="80"/>
      <c r="B199" s="80"/>
      <c r="C199" s="80"/>
      <c r="D199" s="83"/>
      <c r="E199" s="83"/>
      <c r="F199" s="83"/>
      <c r="G199" s="83"/>
      <c r="H199" s="83"/>
      <c r="I199" s="83"/>
      <c r="J199" s="83"/>
      <c r="K199" s="83"/>
      <c r="L199" s="83"/>
      <c r="M199" s="83"/>
      <c r="N199" s="83"/>
      <c r="O199" s="83"/>
      <c r="P199" s="83"/>
      <c r="Q199" s="83"/>
      <c r="R199" s="83"/>
      <c r="S199" s="83"/>
      <c r="T199" s="83"/>
      <c r="U199" s="83"/>
      <c r="V199" s="83"/>
      <c r="W199" s="83"/>
      <c r="X199" s="83"/>
      <c r="Y199" s="83"/>
      <c r="Z199" s="83"/>
      <c r="AA199" s="83"/>
      <c r="AB199" s="83"/>
      <c r="AC199" s="83"/>
      <c r="AD199" s="83"/>
      <c r="AE199" s="83"/>
      <c r="AF199" s="83"/>
      <c r="AG199" s="83"/>
      <c r="AH199" s="83"/>
      <c r="AI199" s="83"/>
      <c r="AJ199" s="83"/>
      <c r="AK199" s="83"/>
      <c r="AL199" s="83"/>
      <c r="AM199" s="83"/>
      <c r="AN199" s="83"/>
      <c r="AO199" s="83"/>
      <c r="AP199" s="83"/>
      <c r="AQ199" s="83"/>
      <c r="AR199" s="83"/>
      <c r="AS199" s="83"/>
    </row>
    <row r="200" spans="1:45" x14ac:dyDescent="0.3">
      <c r="A200" s="80"/>
      <c r="B200" s="80"/>
      <c r="C200" s="80"/>
      <c r="D200" s="83"/>
      <c r="E200" s="83"/>
      <c r="F200" s="83"/>
      <c r="G200" s="83"/>
      <c r="H200" s="83"/>
      <c r="I200" s="83"/>
      <c r="J200" s="83"/>
      <c r="K200" s="83"/>
      <c r="L200" s="83"/>
      <c r="M200" s="83"/>
      <c r="N200" s="83"/>
      <c r="O200" s="83"/>
      <c r="P200" s="83"/>
      <c r="Q200" s="83"/>
      <c r="R200" s="83"/>
      <c r="S200" s="83"/>
      <c r="T200" s="83"/>
      <c r="U200" s="83"/>
      <c r="V200" s="83"/>
      <c r="W200" s="83"/>
      <c r="X200" s="83"/>
      <c r="Y200" s="83"/>
      <c r="Z200" s="83"/>
      <c r="AA200" s="83"/>
      <c r="AB200" s="83"/>
      <c r="AC200" s="83"/>
      <c r="AD200" s="83"/>
      <c r="AE200" s="83"/>
      <c r="AF200" s="83"/>
      <c r="AG200" s="83"/>
      <c r="AH200" s="83"/>
      <c r="AI200" s="83"/>
      <c r="AJ200" s="83"/>
      <c r="AK200" s="83"/>
      <c r="AL200" s="83"/>
      <c r="AM200" s="83"/>
      <c r="AN200" s="83"/>
      <c r="AO200" s="83"/>
      <c r="AP200" s="83"/>
      <c r="AQ200" s="83"/>
      <c r="AR200" s="83"/>
      <c r="AS200" s="83"/>
    </row>
    <row r="201" spans="1:45" x14ac:dyDescent="0.3">
      <c r="A201" s="80"/>
      <c r="B201" s="80"/>
      <c r="C201" s="80"/>
      <c r="D201" s="83"/>
      <c r="E201" s="83"/>
      <c r="F201" s="83"/>
      <c r="G201" s="83"/>
      <c r="H201" s="83"/>
      <c r="I201" s="83"/>
      <c r="J201" s="83"/>
      <c r="K201" s="83"/>
      <c r="L201" s="83"/>
      <c r="M201" s="83"/>
      <c r="N201" s="83"/>
      <c r="O201" s="83"/>
      <c r="P201" s="83"/>
      <c r="Q201" s="83"/>
      <c r="R201" s="83"/>
      <c r="S201" s="83"/>
      <c r="T201" s="83"/>
      <c r="U201" s="83"/>
      <c r="V201" s="83"/>
      <c r="W201" s="83"/>
      <c r="X201" s="83"/>
      <c r="Y201" s="83"/>
      <c r="Z201" s="83"/>
      <c r="AA201" s="83"/>
      <c r="AB201" s="83"/>
      <c r="AC201" s="83"/>
      <c r="AD201" s="83"/>
      <c r="AE201" s="83"/>
      <c r="AF201" s="83"/>
      <c r="AG201" s="83"/>
      <c r="AH201" s="83"/>
      <c r="AI201" s="83"/>
      <c r="AJ201" s="83"/>
      <c r="AK201" s="83"/>
      <c r="AL201" s="83"/>
      <c r="AM201" s="83"/>
      <c r="AN201" s="83"/>
      <c r="AO201" s="83"/>
      <c r="AP201" s="83"/>
      <c r="AQ201" s="83"/>
      <c r="AR201" s="83"/>
      <c r="AS201" s="83"/>
    </row>
    <row r="202" spans="1:45" x14ac:dyDescent="0.3">
      <c r="A202" s="80"/>
      <c r="B202" s="80"/>
      <c r="C202" s="80"/>
      <c r="D202" s="83"/>
      <c r="E202" s="83"/>
      <c r="F202" s="83"/>
      <c r="G202" s="83"/>
      <c r="H202" s="83"/>
      <c r="I202" s="83"/>
      <c r="J202" s="83"/>
      <c r="K202" s="83"/>
      <c r="L202" s="83"/>
      <c r="M202" s="83"/>
      <c r="N202" s="83"/>
      <c r="O202" s="83"/>
      <c r="P202" s="83"/>
      <c r="Q202" s="83"/>
      <c r="R202" s="83"/>
      <c r="S202" s="83"/>
      <c r="T202" s="83"/>
      <c r="U202" s="83"/>
      <c r="V202" s="83"/>
      <c r="W202" s="83"/>
      <c r="X202" s="83"/>
      <c r="Y202" s="83"/>
      <c r="Z202" s="83"/>
      <c r="AA202" s="83"/>
      <c r="AB202" s="83"/>
      <c r="AC202" s="83"/>
      <c r="AD202" s="83"/>
      <c r="AE202" s="83"/>
      <c r="AF202" s="83"/>
      <c r="AG202" s="83"/>
      <c r="AH202" s="83"/>
      <c r="AI202" s="83"/>
      <c r="AJ202" s="83"/>
      <c r="AK202" s="83"/>
      <c r="AL202" s="83"/>
      <c r="AM202" s="83"/>
      <c r="AN202" s="83"/>
      <c r="AO202" s="83"/>
      <c r="AP202" s="83"/>
      <c r="AQ202" s="83"/>
      <c r="AR202" s="83"/>
      <c r="AS202" s="83"/>
    </row>
    <row r="203" spans="1:45" x14ac:dyDescent="0.3">
      <c r="A203" s="80"/>
      <c r="B203" s="80"/>
      <c r="C203" s="80"/>
      <c r="D203" s="83"/>
      <c r="E203" s="83"/>
      <c r="F203" s="83"/>
      <c r="G203" s="83"/>
      <c r="H203" s="83"/>
      <c r="I203" s="83"/>
      <c r="J203" s="83"/>
      <c r="K203" s="83"/>
      <c r="L203" s="83"/>
      <c r="M203" s="83"/>
      <c r="N203" s="83"/>
      <c r="O203" s="83"/>
      <c r="P203" s="83"/>
      <c r="Q203" s="83"/>
      <c r="R203" s="83"/>
      <c r="S203" s="83"/>
      <c r="T203" s="83"/>
      <c r="U203" s="83"/>
      <c r="V203" s="83"/>
      <c r="W203" s="83"/>
      <c r="X203" s="83"/>
      <c r="Y203" s="83"/>
      <c r="Z203" s="83"/>
      <c r="AA203" s="83"/>
      <c r="AB203" s="83"/>
      <c r="AC203" s="83"/>
      <c r="AD203" s="83"/>
      <c r="AE203" s="83"/>
      <c r="AF203" s="83"/>
      <c r="AG203" s="83"/>
      <c r="AH203" s="83"/>
      <c r="AI203" s="83"/>
      <c r="AJ203" s="83"/>
      <c r="AK203" s="83"/>
      <c r="AL203" s="83"/>
      <c r="AM203" s="83"/>
      <c r="AN203" s="83"/>
      <c r="AO203" s="83"/>
      <c r="AP203" s="83"/>
      <c r="AQ203" s="83"/>
      <c r="AR203" s="83"/>
      <c r="AS203" s="83"/>
    </row>
    <row r="204" spans="1:45" x14ac:dyDescent="0.3">
      <c r="A204" s="80"/>
      <c r="B204" s="80"/>
      <c r="C204" s="80"/>
      <c r="D204" s="83"/>
      <c r="E204" s="83"/>
      <c r="F204" s="83"/>
      <c r="G204" s="83"/>
      <c r="H204" s="83"/>
      <c r="I204" s="83"/>
      <c r="J204" s="83"/>
      <c r="K204" s="83"/>
      <c r="L204" s="83"/>
      <c r="M204" s="83"/>
      <c r="N204" s="83"/>
      <c r="O204" s="83"/>
      <c r="P204" s="83"/>
      <c r="Q204" s="83"/>
      <c r="R204" s="83"/>
      <c r="S204" s="83"/>
      <c r="T204" s="83"/>
      <c r="U204" s="83"/>
      <c r="V204" s="83"/>
      <c r="W204" s="83"/>
      <c r="X204" s="83"/>
      <c r="Y204" s="83"/>
      <c r="Z204" s="83"/>
      <c r="AA204" s="83"/>
      <c r="AB204" s="83"/>
      <c r="AC204" s="83"/>
      <c r="AD204" s="83"/>
      <c r="AE204" s="83"/>
      <c r="AF204" s="83"/>
      <c r="AG204" s="83"/>
      <c r="AH204" s="83"/>
      <c r="AI204" s="83"/>
      <c r="AJ204" s="83"/>
      <c r="AK204" s="83"/>
      <c r="AL204" s="83"/>
      <c r="AM204" s="83"/>
      <c r="AN204" s="83"/>
      <c r="AO204" s="83"/>
      <c r="AP204" s="83"/>
      <c r="AQ204" s="83"/>
      <c r="AR204" s="83"/>
      <c r="AS204" s="83"/>
    </row>
    <row r="205" spans="1:45" x14ac:dyDescent="0.3">
      <c r="A205" s="80"/>
      <c r="B205" s="80"/>
      <c r="C205" s="80"/>
      <c r="D205" s="83"/>
      <c r="E205" s="83"/>
      <c r="F205" s="83"/>
      <c r="G205" s="83"/>
      <c r="H205" s="83"/>
      <c r="I205" s="83"/>
      <c r="J205" s="83"/>
      <c r="K205" s="83"/>
      <c r="L205" s="83"/>
      <c r="M205" s="83"/>
      <c r="N205" s="83"/>
      <c r="O205" s="83"/>
      <c r="P205" s="83"/>
      <c r="Q205" s="83"/>
      <c r="R205" s="83"/>
      <c r="S205" s="83"/>
      <c r="T205" s="83"/>
      <c r="U205" s="83"/>
      <c r="V205" s="83"/>
      <c r="W205" s="83"/>
      <c r="X205" s="83"/>
      <c r="Y205" s="83"/>
      <c r="Z205" s="83"/>
      <c r="AA205" s="83"/>
      <c r="AB205" s="83"/>
      <c r="AC205" s="83"/>
      <c r="AD205" s="83"/>
      <c r="AE205" s="83"/>
      <c r="AF205" s="83"/>
      <c r="AG205" s="83"/>
      <c r="AH205" s="83"/>
      <c r="AI205" s="83"/>
      <c r="AJ205" s="83"/>
      <c r="AK205" s="83"/>
      <c r="AL205" s="83"/>
      <c r="AM205" s="83"/>
      <c r="AN205" s="83"/>
      <c r="AO205" s="83"/>
      <c r="AP205" s="83"/>
      <c r="AQ205" s="83"/>
      <c r="AR205" s="83"/>
      <c r="AS205" s="83"/>
    </row>
    <row r="206" spans="1:45" x14ac:dyDescent="0.3">
      <c r="A206" s="80"/>
      <c r="B206" s="80"/>
      <c r="C206" s="80"/>
      <c r="D206" s="83"/>
      <c r="E206" s="83"/>
      <c r="F206" s="83"/>
      <c r="G206" s="83"/>
      <c r="H206" s="83"/>
      <c r="I206" s="83"/>
      <c r="J206" s="83"/>
      <c r="K206" s="83"/>
      <c r="L206" s="83"/>
      <c r="M206" s="83"/>
      <c r="N206" s="83"/>
      <c r="O206" s="83"/>
      <c r="P206" s="83"/>
      <c r="Q206" s="83"/>
      <c r="R206" s="83"/>
      <c r="S206" s="83"/>
      <c r="T206" s="83"/>
      <c r="U206" s="83"/>
      <c r="V206" s="83"/>
      <c r="W206" s="83"/>
      <c r="X206" s="83"/>
      <c r="Y206" s="83"/>
      <c r="Z206" s="83"/>
      <c r="AA206" s="83"/>
      <c r="AB206" s="83"/>
      <c r="AC206" s="83"/>
      <c r="AD206" s="83"/>
      <c r="AE206" s="83"/>
      <c r="AF206" s="83"/>
      <c r="AG206" s="83"/>
      <c r="AH206" s="83"/>
      <c r="AI206" s="83"/>
      <c r="AJ206" s="83"/>
      <c r="AK206" s="83"/>
      <c r="AL206" s="83"/>
      <c r="AM206" s="83"/>
      <c r="AN206" s="83"/>
      <c r="AO206" s="83"/>
      <c r="AP206" s="83"/>
      <c r="AQ206" s="83"/>
      <c r="AR206" s="83"/>
      <c r="AS206" s="83"/>
    </row>
    <row r="207" spans="1:45" x14ac:dyDescent="0.3">
      <c r="A207" s="80"/>
      <c r="B207" s="80"/>
      <c r="C207" s="80"/>
      <c r="D207" s="83"/>
      <c r="E207" s="83"/>
      <c r="F207" s="83"/>
      <c r="G207" s="83"/>
      <c r="H207" s="83"/>
      <c r="I207" s="83"/>
      <c r="J207" s="83"/>
      <c r="K207" s="83"/>
      <c r="L207" s="83"/>
      <c r="M207" s="83"/>
      <c r="N207" s="83"/>
      <c r="O207" s="83"/>
      <c r="P207" s="83"/>
      <c r="Q207" s="83"/>
      <c r="R207" s="83"/>
      <c r="S207" s="83"/>
      <c r="T207" s="83"/>
      <c r="U207" s="83"/>
      <c r="V207" s="83"/>
      <c r="W207" s="83"/>
      <c r="X207" s="83"/>
      <c r="Y207" s="83"/>
      <c r="Z207" s="83"/>
      <c r="AA207" s="83"/>
      <c r="AB207" s="83"/>
      <c r="AC207" s="83"/>
      <c r="AD207" s="83"/>
      <c r="AE207" s="83"/>
      <c r="AF207" s="83"/>
      <c r="AG207" s="83"/>
      <c r="AH207" s="83"/>
      <c r="AI207" s="83"/>
      <c r="AJ207" s="83"/>
      <c r="AK207" s="83"/>
      <c r="AL207" s="83"/>
      <c r="AM207" s="83"/>
      <c r="AN207" s="83"/>
      <c r="AO207" s="83"/>
      <c r="AP207" s="83"/>
      <c r="AQ207" s="83"/>
      <c r="AR207" s="83"/>
      <c r="AS207" s="83"/>
    </row>
    <row r="208" spans="1:45" x14ac:dyDescent="0.3">
      <c r="A208" s="80"/>
      <c r="B208" s="80"/>
      <c r="C208" s="80"/>
      <c r="D208" s="83"/>
      <c r="E208" s="83"/>
      <c r="F208" s="83"/>
      <c r="G208" s="83"/>
      <c r="H208" s="83"/>
      <c r="I208" s="83"/>
      <c r="J208" s="83"/>
      <c r="K208" s="83"/>
      <c r="L208" s="83"/>
      <c r="M208" s="83"/>
      <c r="N208" s="83"/>
      <c r="O208" s="83"/>
      <c r="P208" s="83"/>
      <c r="Q208" s="83"/>
      <c r="R208" s="83"/>
      <c r="S208" s="83"/>
      <c r="T208" s="83"/>
      <c r="U208" s="83"/>
      <c r="V208" s="83"/>
      <c r="W208" s="83"/>
      <c r="X208" s="83"/>
      <c r="Y208" s="83"/>
      <c r="Z208" s="83"/>
      <c r="AA208" s="83"/>
      <c r="AB208" s="83"/>
      <c r="AC208" s="83"/>
      <c r="AD208" s="83"/>
      <c r="AE208" s="83"/>
      <c r="AF208" s="83"/>
      <c r="AG208" s="83"/>
      <c r="AH208" s="83"/>
      <c r="AI208" s="83"/>
      <c r="AJ208" s="83"/>
      <c r="AK208" s="83"/>
      <c r="AL208" s="83"/>
      <c r="AM208" s="83"/>
      <c r="AN208" s="83"/>
      <c r="AO208" s="83"/>
      <c r="AP208" s="83"/>
      <c r="AQ208" s="83"/>
      <c r="AR208" s="83"/>
      <c r="AS208" s="83"/>
    </row>
    <row r="209" spans="1:45" x14ac:dyDescent="0.3">
      <c r="A209" s="80"/>
      <c r="B209" s="80"/>
      <c r="C209" s="80"/>
      <c r="D209" s="83"/>
      <c r="E209" s="83"/>
      <c r="F209" s="83"/>
      <c r="G209" s="83"/>
      <c r="H209" s="83"/>
      <c r="I209" s="83"/>
      <c r="J209" s="83"/>
      <c r="K209" s="83"/>
      <c r="L209" s="83"/>
      <c r="M209" s="83"/>
      <c r="N209" s="83"/>
      <c r="O209" s="83"/>
      <c r="P209" s="83"/>
      <c r="Q209" s="83"/>
      <c r="R209" s="83"/>
      <c r="S209" s="83"/>
      <c r="T209" s="83"/>
      <c r="U209" s="83"/>
      <c r="V209" s="83"/>
      <c r="W209" s="83"/>
      <c r="X209" s="83"/>
      <c r="Y209" s="83"/>
      <c r="Z209" s="83"/>
      <c r="AA209" s="83"/>
      <c r="AB209" s="83"/>
      <c r="AC209" s="83"/>
      <c r="AD209" s="83"/>
      <c r="AE209" s="83"/>
      <c r="AF209" s="83"/>
      <c r="AG209" s="83"/>
      <c r="AH209" s="83"/>
      <c r="AI209" s="83"/>
      <c r="AJ209" s="83"/>
      <c r="AK209" s="83"/>
      <c r="AL209" s="83"/>
      <c r="AM209" s="83"/>
      <c r="AN209" s="83"/>
      <c r="AO209" s="83"/>
      <c r="AP209" s="83"/>
      <c r="AQ209" s="83"/>
      <c r="AR209" s="83"/>
      <c r="AS209" s="83"/>
    </row>
    <row r="210" spans="1:45" x14ac:dyDescent="0.3">
      <c r="A210" s="80"/>
      <c r="B210" s="80"/>
      <c r="C210" s="80"/>
      <c r="D210" s="83"/>
      <c r="E210" s="83"/>
      <c r="F210" s="83"/>
      <c r="G210" s="83"/>
      <c r="H210" s="83"/>
      <c r="I210" s="83"/>
      <c r="J210" s="83"/>
      <c r="K210" s="83"/>
      <c r="L210" s="83"/>
      <c r="M210" s="83"/>
      <c r="N210" s="83"/>
      <c r="O210" s="83"/>
      <c r="P210" s="83"/>
      <c r="Q210" s="83"/>
      <c r="R210" s="83"/>
      <c r="S210" s="83"/>
      <c r="T210" s="83"/>
      <c r="U210" s="83"/>
      <c r="V210" s="83"/>
      <c r="W210" s="83"/>
      <c r="X210" s="83"/>
      <c r="Y210" s="83"/>
      <c r="Z210" s="83"/>
      <c r="AA210" s="83"/>
      <c r="AB210" s="83"/>
      <c r="AC210" s="83"/>
      <c r="AD210" s="83"/>
      <c r="AE210" s="83"/>
      <c r="AF210" s="83"/>
      <c r="AG210" s="83"/>
      <c r="AH210" s="83"/>
      <c r="AI210" s="83"/>
      <c r="AJ210" s="83"/>
      <c r="AK210" s="83"/>
      <c r="AL210" s="83"/>
      <c r="AM210" s="83"/>
      <c r="AN210" s="83"/>
      <c r="AO210" s="83"/>
      <c r="AP210" s="83"/>
      <c r="AQ210" s="83"/>
      <c r="AR210" s="83"/>
      <c r="AS210" s="83"/>
    </row>
    <row r="211" spans="1:45" x14ac:dyDescent="0.3">
      <c r="A211" s="80"/>
      <c r="B211" s="80"/>
      <c r="C211" s="80"/>
      <c r="D211" s="83"/>
      <c r="E211" s="83"/>
      <c r="F211" s="83"/>
      <c r="G211" s="83"/>
      <c r="H211" s="83"/>
      <c r="I211" s="83"/>
      <c r="J211" s="83"/>
      <c r="K211" s="83"/>
      <c r="L211" s="83"/>
      <c r="M211" s="83"/>
      <c r="N211" s="83"/>
      <c r="O211" s="83"/>
      <c r="P211" s="83"/>
      <c r="Q211" s="83"/>
      <c r="R211" s="83"/>
      <c r="S211" s="83"/>
      <c r="T211" s="83"/>
      <c r="U211" s="83"/>
      <c r="V211" s="83"/>
      <c r="W211" s="83"/>
      <c r="X211" s="83"/>
      <c r="Y211" s="83"/>
      <c r="Z211" s="83"/>
      <c r="AA211" s="83"/>
      <c r="AB211" s="83"/>
      <c r="AC211" s="83"/>
      <c r="AD211" s="83"/>
      <c r="AE211" s="83"/>
      <c r="AF211" s="83"/>
      <c r="AG211" s="83"/>
      <c r="AH211" s="83"/>
      <c r="AI211" s="83"/>
      <c r="AJ211" s="83"/>
      <c r="AK211" s="83"/>
      <c r="AL211" s="83"/>
      <c r="AM211" s="83"/>
      <c r="AN211" s="83"/>
      <c r="AO211" s="83"/>
      <c r="AP211" s="83"/>
      <c r="AQ211" s="83"/>
      <c r="AR211" s="83"/>
      <c r="AS211" s="83"/>
    </row>
    <row r="212" spans="1:45" x14ac:dyDescent="0.3">
      <c r="A212" s="80"/>
      <c r="B212" s="80"/>
      <c r="C212" s="80"/>
      <c r="D212" s="83"/>
      <c r="E212" s="83"/>
      <c r="F212" s="83"/>
      <c r="G212" s="83"/>
      <c r="H212" s="83"/>
      <c r="I212" s="83"/>
      <c r="J212" s="83"/>
      <c r="K212" s="83"/>
      <c r="L212" s="83"/>
      <c r="M212" s="83"/>
      <c r="N212" s="83"/>
      <c r="O212" s="83"/>
      <c r="P212" s="83"/>
      <c r="Q212" s="83"/>
      <c r="R212" s="83"/>
      <c r="S212" s="83"/>
      <c r="T212" s="83"/>
      <c r="U212" s="83"/>
      <c r="V212" s="83"/>
      <c r="W212" s="83"/>
      <c r="X212" s="83"/>
      <c r="Y212" s="83"/>
      <c r="Z212" s="83"/>
      <c r="AA212" s="83"/>
      <c r="AB212" s="83"/>
      <c r="AC212" s="83"/>
      <c r="AD212" s="83"/>
      <c r="AE212" s="83"/>
      <c r="AF212" s="83"/>
      <c r="AG212" s="83"/>
      <c r="AH212" s="83"/>
      <c r="AI212" s="83"/>
      <c r="AJ212" s="83"/>
      <c r="AK212" s="83"/>
      <c r="AL212" s="83"/>
      <c r="AM212" s="83"/>
      <c r="AN212" s="83"/>
      <c r="AO212" s="83"/>
      <c r="AP212" s="83"/>
      <c r="AQ212" s="83"/>
      <c r="AR212" s="83"/>
      <c r="AS212" s="83"/>
    </row>
    <row r="213" spans="1:45" x14ac:dyDescent="0.3">
      <c r="A213" s="80"/>
      <c r="B213" s="80"/>
      <c r="C213" s="80"/>
      <c r="D213" s="83"/>
      <c r="E213" s="83"/>
      <c r="F213" s="83"/>
      <c r="G213" s="83"/>
      <c r="H213" s="83"/>
      <c r="I213" s="83"/>
      <c r="J213" s="83"/>
      <c r="K213" s="83"/>
      <c r="L213" s="83"/>
      <c r="M213" s="83"/>
      <c r="N213" s="83"/>
      <c r="O213" s="83"/>
      <c r="P213" s="83"/>
      <c r="Q213" s="83"/>
      <c r="R213" s="83"/>
      <c r="S213" s="83"/>
      <c r="T213" s="83"/>
      <c r="U213" s="83"/>
      <c r="V213" s="83"/>
      <c r="W213" s="83"/>
      <c r="X213" s="83"/>
      <c r="Y213" s="83"/>
      <c r="Z213" s="83"/>
      <c r="AA213" s="83"/>
      <c r="AB213" s="83"/>
      <c r="AC213" s="83"/>
      <c r="AD213" s="83"/>
      <c r="AE213" s="83"/>
      <c r="AF213" s="83"/>
      <c r="AG213" s="83"/>
      <c r="AH213" s="83"/>
      <c r="AI213" s="83"/>
      <c r="AJ213" s="83"/>
      <c r="AK213" s="83"/>
      <c r="AL213" s="83"/>
      <c r="AM213" s="83"/>
      <c r="AN213" s="83"/>
      <c r="AO213" s="83"/>
      <c r="AP213" s="83"/>
      <c r="AQ213" s="83"/>
      <c r="AR213" s="83"/>
      <c r="AS213" s="83"/>
    </row>
    <row r="214" spans="1:45" x14ac:dyDescent="0.3">
      <c r="A214" s="80"/>
      <c r="B214" s="80"/>
      <c r="C214" s="80"/>
      <c r="D214" s="83"/>
      <c r="E214" s="83"/>
      <c r="F214" s="83"/>
      <c r="G214" s="83"/>
      <c r="H214" s="83"/>
      <c r="I214" s="83"/>
      <c r="J214" s="83"/>
      <c r="K214" s="83"/>
      <c r="L214" s="83"/>
      <c r="M214" s="83"/>
      <c r="N214" s="83"/>
      <c r="O214" s="83"/>
      <c r="P214" s="83"/>
      <c r="Q214" s="83"/>
      <c r="R214" s="83"/>
      <c r="S214" s="83"/>
      <c r="T214" s="83"/>
      <c r="U214" s="83"/>
      <c r="V214" s="83"/>
      <c r="W214" s="83"/>
      <c r="X214" s="83"/>
      <c r="Y214" s="83"/>
      <c r="Z214" s="83"/>
      <c r="AA214" s="83"/>
      <c r="AB214" s="83"/>
      <c r="AC214" s="83"/>
      <c r="AD214" s="83"/>
      <c r="AE214" s="83"/>
      <c r="AF214" s="83"/>
      <c r="AG214" s="83"/>
      <c r="AH214" s="83"/>
      <c r="AI214" s="83"/>
      <c r="AJ214" s="83"/>
      <c r="AK214" s="83"/>
      <c r="AL214" s="83"/>
      <c r="AM214" s="83"/>
      <c r="AN214" s="83"/>
      <c r="AO214" s="83"/>
      <c r="AP214" s="83"/>
      <c r="AQ214" s="83"/>
      <c r="AR214" s="83"/>
      <c r="AS214" s="83"/>
    </row>
    <row r="215" spans="1:45" x14ac:dyDescent="0.3">
      <c r="A215" s="80"/>
      <c r="B215" s="80"/>
      <c r="C215" s="80"/>
      <c r="D215" s="83"/>
      <c r="E215" s="83"/>
      <c r="F215" s="83"/>
      <c r="G215" s="83"/>
      <c r="H215" s="83"/>
      <c r="I215" s="83"/>
      <c r="J215" s="83"/>
      <c r="K215" s="83"/>
      <c r="L215" s="83"/>
      <c r="M215" s="83"/>
      <c r="N215" s="83"/>
      <c r="O215" s="83"/>
      <c r="P215" s="83"/>
      <c r="Q215" s="83"/>
      <c r="R215" s="83"/>
      <c r="S215" s="83"/>
      <c r="T215" s="83"/>
      <c r="U215" s="83"/>
      <c r="V215" s="83"/>
      <c r="W215" s="83"/>
      <c r="X215" s="83"/>
      <c r="Y215" s="83"/>
      <c r="Z215" s="83"/>
      <c r="AA215" s="83"/>
      <c r="AB215" s="83"/>
      <c r="AC215" s="83"/>
      <c r="AD215" s="83"/>
      <c r="AE215" s="83"/>
      <c r="AF215" s="83"/>
      <c r="AG215" s="83"/>
      <c r="AH215" s="83"/>
      <c r="AI215" s="83"/>
      <c r="AJ215" s="83"/>
      <c r="AK215" s="83"/>
      <c r="AL215" s="83"/>
      <c r="AM215" s="83"/>
      <c r="AN215" s="83"/>
      <c r="AO215" s="83"/>
      <c r="AP215" s="83"/>
      <c r="AQ215" s="83"/>
      <c r="AR215" s="83"/>
      <c r="AS215" s="83"/>
    </row>
    <row r="216" spans="1:45" x14ac:dyDescent="0.3">
      <c r="A216" s="80"/>
      <c r="B216" s="80"/>
      <c r="C216" s="80"/>
      <c r="D216" s="83"/>
      <c r="E216" s="83"/>
      <c r="F216" s="83"/>
      <c r="G216" s="83"/>
      <c r="H216" s="83"/>
      <c r="I216" s="83"/>
      <c r="J216" s="83"/>
      <c r="K216" s="83"/>
      <c r="L216" s="83"/>
      <c r="M216" s="83"/>
      <c r="N216" s="83"/>
      <c r="O216" s="83"/>
      <c r="P216" s="83"/>
      <c r="Q216" s="83"/>
      <c r="R216" s="83"/>
      <c r="S216" s="83"/>
      <c r="T216" s="83"/>
      <c r="U216" s="83"/>
      <c r="V216" s="83"/>
      <c r="W216" s="83"/>
      <c r="X216" s="83"/>
      <c r="Y216" s="83"/>
      <c r="Z216" s="83"/>
      <c r="AA216" s="83"/>
      <c r="AB216" s="83"/>
      <c r="AC216" s="83"/>
      <c r="AD216" s="83"/>
      <c r="AE216" s="83"/>
      <c r="AF216" s="83"/>
      <c r="AG216" s="83"/>
      <c r="AH216" s="83"/>
      <c r="AI216" s="83"/>
      <c r="AJ216" s="83"/>
      <c r="AK216" s="83"/>
      <c r="AL216" s="83"/>
      <c r="AM216" s="83"/>
      <c r="AN216" s="83"/>
      <c r="AO216" s="83"/>
      <c r="AP216" s="83"/>
      <c r="AQ216" s="83"/>
      <c r="AR216" s="83"/>
      <c r="AS216" s="83"/>
    </row>
    <row r="217" spans="1:45" x14ac:dyDescent="0.3">
      <c r="A217" s="80"/>
      <c r="B217" s="80"/>
      <c r="C217" s="80"/>
      <c r="D217" s="83"/>
      <c r="E217" s="83"/>
      <c r="F217" s="83"/>
      <c r="G217" s="83"/>
      <c r="H217" s="83"/>
      <c r="I217" s="83"/>
      <c r="J217" s="83"/>
      <c r="K217" s="83"/>
      <c r="L217" s="83"/>
      <c r="M217" s="83"/>
      <c r="N217" s="83"/>
      <c r="O217" s="83"/>
      <c r="P217" s="83"/>
      <c r="Q217" s="83"/>
      <c r="R217" s="83"/>
      <c r="S217" s="83"/>
      <c r="T217" s="83"/>
      <c r="U217" s="83"/>
      <c r="V217" s="83"/>
      <c r="W217" s="83"/>
      <c r="X217" s="83"/>
      <c r="Y217" s="83"/>
      <c r="Z217" s="83"/>
      <c r="AA217" s="83"/>
      <c r="AB217" s="83"/>
      <c r="AC217" s="83"/>
      <c r="AD217" s="83"/>
      <c r="AE217" s="83"/>
      <c r="AF217" s="83"/>
      <c r="AG217" s="83"/>
      <c r="AH217" s="83"/>
      <c r="AI217" s="83"/>
      <c r="AJ217" s="83"/>
      <c r="AK217" s="83"/>
      <c r="AL217" s="83"/>
      <c r="AM217" s="83"/>
      <c r="AN217" s="83"/>
      <c r="AO217" s="83"/>
      <c r="AP217" s="83"/>
      <c r="AQ217" s="83"/>
      <c r="AR217" s="83"/>
      <c r="AS217" s="83"/>
    </row>
    <row r="218" spans="1:45" x14ac:dyDescent="0.3">
      <c r="A218" s="80"/>
      <c r="B218" s="80"/>
      <c r="C218" s="80"/>
      <c r="D218" s="83"/>
      <c r="E218" s="83"/>
      <c r="F218" s="83"/>
      <c r="G218" s="83"/>
      <c r="H218" s="83"/>
      <c r="I218" s="83"/>
      <c r="J218" s="83"/>
      <c r="K218" s="83"/>
      <c r="L218" s="83"/>
      <c r="M218" s="83"/>
      <c r="N218" s="83"/>
      <c r="O218" s="83"/>
      <c r="P218" s="83"/>
      <c r="Q218" s="83"/>
      <c r="R218" s="83"/>
      <c r="S218" s="83"/>
      <c r="T218" s="83"/>
      <c r="U218" s="83"/>
      <c r="V218" s="83"/>
      <c r="W218" s="83"/>
      <c r="X218" s="83"/>
      <c r="Y218" s="83"/>
      <c r="Z218" s="83"/>
      <c r="AA218" s="83"/>
      <c r="AB218" s="83"/>
      <c r="AC218" s="83"/>
      <c r="AD218" s="83"/>
      <c r="AE218" s="83"/>
      <c r="AF218" s="83"/>
      <c r="AG218" s="83"/>
      <c r="AH218" s="83"/>
      <c r="AI218" s="83"/>
      <c r="AJ218" s="83"/>
      <c r="AK218" s="83"/>
      <c r="AL218" s="83"/>
      <c r="AM218" s="83"/>
      <c r="AN218" s="83"/>
      <c r="AO218" s="83"/>
      <c r="AP218" s="83"/>
      <c r="AQ218" s="83"/>
      <c r="AR218" s="83"/>
      <c r="AS218" s="83"/>
    </row>
    <row r="219" spans="1:45" x14ac:dyDescent="0.3">
      <c r="A219" s="80"/>
      <c r="B219" s="80"/>
      <c r="C219" s="80"/>
      <c r="D219" s="83"/>
      <c r="E219" s="83"/>
      <c r="F219" s="83"/>
      <c r="G219" s="83"/>
      <c r="H219" s="83"/>
      <c r="I219" s="83"/>
      <c r="J219" s="83"/>
      <c r="K219" s="83"/>
      <c r="L219" s="83"/>
      <c r="M219" s="83"/>
      <c r="N219" s="83"/>
      <c r="O219" s="83"/>
      <c r="P219" s="83"/>
      <c r="Q219" s="83"/>
      <c r="R219" s="83"/>
      <c r="S219" s="83"/>
      <c r="T219" s="83"/>
      <c r="U219" s="83"/>
      <c r="V219" s="83"/>
      <c r="W219" s="83"/>
      <c r="X219" s="83"/>
      <c r="Y219" s="83"/>
      <c r="Z219" s="83"/>
      <c r="AA219" s="83"/>
      <c r="AB219" s="83"/>
      <c r="AC219" s="83"/>
      <c r="AD219" s="83"/>
      <c r="AE219" s="83"/>
      <c r="AF219" s="83"/>
      <c r="AG219" s="83"/>
      <c r="AH219" s="83"/>
      <c r="AI219" s="83"/>
      <c r="AJ219" s="83"/>
      <c r="AK219" s="83"/>
      <c r="AL219" s="83"/>
      <c r="AM219" s="83"/>
      <c r="AN219" s="83"/>
      <c r="AO219" s="83"/>
      <c r="AP219" s="83"/>
      <c r="AQ219" s="83"/>
      <c r="AR219" s="83"/>
      <c r="AS219" s="83"/>
    </row>
    <row r="220" spans="1:45" x14ac:dyDescent="0.3">
      <c r="A220" s="80"/>
      <c r="B220" s="80"/>
      <c r="C220" s="80"/>
      <c r="D220" s="83"/>
      <c r="E220" s="83"/>
      <c r="F220" s="83"/>
      <c r="G220" s="83"/>
      <c r="H220" s="83"/>
      <c r="I220" s="83"/>
      <c r="J220" s="83"/>
      <c r="K220" s="83"/>
      <c r="L220" s="83"/>
      <c r="M220" s="83"/>
      <c r="N220" s="83"/>
      <c r="O220" s="83"/>
      <c r="P220" s="83"/>
      <c r="Q220" s="83"/>
      <c r="R220" s="83"/>
      <c r="S220" s="83"/>
      <c r="T220" s="83"/>
      <c r="U220" s="83"/>
      <c r="V220" s="83"/>
      <c r="W220" s="83"/>
      <c r="X220" s="83"/>
      <c r="Y220" s="83"/>
      <c r="Z220" s="83"/>
      <c r="AA220" s="83"/>
      <c r="AB220" s="83"/>
      <c r="AC220" s="83"/>
      <c r="AD220" s="83"/>
      <c r="AE220" s="83"/>
      <c r="AF220" s="83"/>
      <c r="AG220" s="83"/>
      <c r="AH220" s="83"/>
      <c r="AI220" s="83"/>
      <c r="AJ220" s="83"/>
      <c r="AK220" s="83"/>
      <c r="AL220" s="83"/>
      <c r="AM220" s="83"/>
      <c r="AN220" s="83"/>
      <c r="AO220" s="83"/>
      <c r="AP220" s="83"/>
      <c r="AQ220" s="83"/>
      <c r="AR220" s="83"/>
      <c r="AS220" s="83"/>
    </row>
    <row r="221" spans="1:45" x14ac:dyDescent="0.3">
      <c r="A221" s="80"/>
      <c r="B221" s="80"/>
      <c r="C221" s="80"/>
      <c r="D221" s="83"/>
      <c r="E221" s="83"/>
      <c r="F221" s="83"/>
      <c r="G221" s="83"/>
      <c r="H221" s="83"/>
      <c r="I221" s="83"/>
      <c r="J221" s="83"/>
      <c r="K221" s="83"/>
      <c r="L221" s="83"/>
      <c r="M221" s="83"/>
      <c r="N221" s="83"/>
      <c r="O221" s="83"/>
      <c r="P221" s="83"/>
      <c r="Q221" s="83"/>
      <c r="R221" s="83"/>
      <c r="S221" s="83"/>
      <c r="T221" s="83"/>
      <c r="U221" s="83"/>
      <c r="V221" s="83"/>
      <c r="W221" s="83"/>
      <c r="X221" s="83"/>
      <c r="Y221" s="83"/>
      <c r="Z221" s="83"/>
      <c r="AA221" s="83"/>
      <c r="AB221" s="83"/>
      <c r="AC221" s="83"/>
      <c r="AD221" s="83"/>
      <c r="AE221" s="83"/>
      <c r="AF221" s="83"/>
      <c r="AG221" s="83"/>
      <c r="AH221" s="83"/>
      <c r="AI221" s="83"/>
      <c r="AJ221" s="83"/>
      <c r="AK221" s="83"/>
      <c r="AL221" s="83"/>
      <c r="AM221" s="83"/>
      <c r="AN221" s="83"/>
      <c r="AO221" s="83"/>
      <c r="AP221" s="83"/>
      <c r="AQ221" s="83"/>
      <c r="AR221" s="83"/>
      <c r="AS221" s="83"/>
    </row>
    <row r="222" spans="1:45" x14ac:dyDescent="0.3">
      <c r="A222" s="80"/>
      <c r="B222" s="80"/>
      <c r="C222" s="80"/>
      <c r="D222" s="83"/>
      <c r="E222" s="83"/>
      <c r="F222" s="83"/>
      <c r="G222" s="83"/>
      <c r="H222" s="83"/>
      <c r="I222" s="8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c r="AQ222" s="83"/>
      <c r="AR222" s="83"/>
      <c r="AS222" s="83"/>
    </row>
    <row r="223" spans="1:45" x14ac:dyDescent="0.3">
      <c r="A223" s="80"/>
      <c r="B223" s="80"/>
      <c r="C223" s="80"/>
      <c r="D223" s="83"/>
      <c r="E223" s="83"/>
      <c r="F223" s="83"/>
      <c r="G223" s="83"/>
      <c r="H223" s="83"/>
      <c r="I223" s="83"/>
      <c r="J223" s="83"/>
      <c r="K223" s="83"/>
      <c r="L223" s="83"/>
      <c r="M223" s="83"/>
      <c r="N223" s="83"/>
      <c r="O223" s="83"/>
      <c r="P223" s="83"/>
      <c r="Q223" s="83"/>
      <c r="R223" s="83"/>
      <c r="S223" s="83"/>
      <c r="T223" s="83"/>
      <c r="U223" s="83"/>
      <c r="V223" s="83"/>
      <c r="W223" s="83"/>
      <c r="X223" s="83"/>
      <c r="Y223" s="83"/>
      <c r="Z223" s="83"/>
      <c r="AA223" s="83"/>
      <c r="AB223" s="83"/>
      <c r="AC223" s="83"/>
      <c r="AD223" s="83"/>
      <c r="AE223" s="83"/>
      <c r="AF223" s="83"/>
      <c r="AG223" s="83"/>
      <c r="AH223" s="83"/>
      <c r="AI223" s="83"/>
      <c r="AJ223" s="83"/>
      <c r="AK223" s="83"/>
      <c r="AL223" s="83"/>
      <c r="AM223" s="83"/>
      <c r="AN223" s="83"/>
      <c r="AO223" s="83"/>
      <c r="AP223" s="83"/>
      <c r="AQ223" s="83"/>
      <c r="AR223" s="83"/>
      <c r="AS223" s="83"/>
    </row>
    <row r="224" spans="1:45" x14ac:dyDescent="0.3">
      <c r="A224" s="80"/>
      <c r="B224" s="80"/>
      <c r="C224" s="80"/>
      <c r="D224" s="83"/>
      <c r="E224" s="83"/>
      <c r="F224" s="83"/>
      <c r="G224" s="83"/>
      <c r="H224" s="83"/>
      <c r="I224" s="83"/>
      <c r="J224" s="83"/>
      <c r="K224" s="83"/>
      <c r="L224" s="83"/>
      <c r="M224" s="83"/>
      <c r="N224" s="83"/>
      <c r="O224" s="83"/>
      <c r="P224" s="83"/>
      <c r="Q224" s="83"/>
      <c r="R224" s="83"/>
      <c r="S224" s="83"/>
      <c r="T224" s="83"/>
      <c r="U224" s="83"/>
      <c r="V224" s="83"/>
      <c r="W224" s="83"/>
      <c r="X224" s="83"/>
      <c r="Y224" s="83"/>
      <c r="Z224" s="83"/>
      <c r="AA224" s="83"/>
      <c r="AB224" s="83"/>
      <c r="AC224" s="83"/>
      <c r="AD224" s="83"/>
      <c r="AE224" s="83"/>
      <c r="AF224" s="83"/>
      <c r="AG224" s="83"/>
      <c r="AH224" s="83"/>
      <c r="AI224" s="83"/>
      <c r="AJ224" s="83"/>
      <c r="AK224" s="83"/>
      <c r="AL224" s="83"/>
      <c r="AM224" s="83"/>
      <c r="AN224" s="83"/>
      <c r="AO224" s="83"/>
      <c r="AP224" s="83"/>
      <c r="AQ224" s="83"/>
      <c r="AR224" s="83"/>
      <c r="AS224" s="83"/>
    </row>
    <row r="225" spans="1:45" x14ac:dyDescent="0.3">
      <c r="A225" s="80"/>
      <c r="B225" s="80"/>
      <c r="C225" s="80"/>
      <c r="D225" s="83"/>
      <c r="E225" s="83"/>
      <c r="F225" s="83"/>
      <c r="G225" s="83"/>
      <c r="H225" s="83"/>
      <c r="I225" s="83"/>
      <c r="J225" s="83"/>
      <c r="K225" s="83"/>
      <c r="L225" s="83"/>
      <c r="M225" s="83"/>
      <c r="N225" s="83"/>
      <c r="O225" s="83"/>
      <c r="P225" s="83"/>
      <c r="Q225" s="83"/>
      <c r="R225" s="83"/>
      <c r="S225" s="83"/>
      <c r="T225" s="83"/>
      <c r="U225" s="83"/>
      <c r="V225" s="83"/>
      <c r="W225" s="83"/>
      <c r="X225" s="83"/>
      <c r="Y225" s="83"/>
      <c r="Z225" s="83"/>
      <c r="AA225" s="83"/>
      <c r="AB225" s="83"/>
      <c r="AC225" s="83"/>
      <c r="AD225" s="83"/>
      <c r="AE225" s="83"/>
      <c r="AF225" s="83"/>
      <c r="AG225" s="83"/>
      <c r="AH225" s="83"/>
      <c r="AI225" s="83"/>
      <c r="AJ225" s="83"/>
      <c r="AK225" s="83"/>
      <c r="AL225" s="83"/>
      <c r="AM225" s="83"/>
      <c r="AN225" s="83"/>
      <c r="AO225" s="83"/>
      <c r="AP225" s="83"/>
      <c r="AQ225" s="83"/>
      <c r="AR225" s="83"/>
      <c r="AS225" s="83"/>
    </row>
    <row r="226" spans="1:45" x14ac:dyDescent="0.3">
      <c r="A226" s="80"/>
      <c r="B226" s="80"/>
      <c r="C226" s="80"/>
      <c r="D226" s="83"/>
      <c r="E226" s="83"/>
      <c r="F226" s="83"/>
      <c r="G226" s="83"/>
      <c r="H226" s="83"/>
      <c r="I226" s="83"/>
      <c r="J226" s="83"/>
      <c r="K226" s="83"/>
      <c r="L226" s="83"/>
      <c r="M226" s="83"/>
      <c r="N226" s="83"/>
      <c r="O226" s="83"/>
      <c r="P226" s="83"/>
      <c r="Q226" s="83"/>
      <c r="R226" s="83"/>
      <c r="S226" s="83"/>
      <c r="T226" s="83"/>
      <c r="U226" s="83"/>
      <c r="V226" s="83"/>
      <c r="W226" s="83"/>
      <c r="X226" s="83"/>
      <c r="Y226" s="83"/>
      <c r="Z226" s="83"/>
      <c r="AA226" s="83"/>
      <c r="AB226" s="83"/>
      <c r="AC226" s="83"/>
      <c r="AD226" s="83"/>
      <c r="AE226" s="83"/>
      <c r="AF226" s="83"/>
      <c r="AG226" s="83"/>
      <c r="AH226" s="83"/>
      <c r="AI226" s="83"/>
      <c r="AJ226" s="83"/>
      <c r="AK226" s="83"/>
      <c r="AL226" s="83"/>
      <c r="AM226" s="83"/>
      <c r="AN226" s="83"/>
      <c r="AO226" s="83"/>
      <c r="AP226" s="83"/>
      <c r="AQ226" s="83"/>
      <c r="AR226" s="83"/>
      <c r="AS226" s="83"/>
    </row>
    <row r="227" spans="1:45" x14ac:dyDescent="0.3">
      <c r="A227" s="80"/>
      <c r="B227" s="80"/>
      <c r="C227" s="80"/>
      <c r="D227" s="83"/>
      <c r="E227" s="83"/>
      <c r="F227" s="83"/>
      <c r="G227" s="83"/>
      <c r="H227" s="83"/>
      <c r="I227" s="83"/>
      <c r="J227" s="83"/>
      <c r="K227" s="83"/>
      <c r="L227" s="83"/>
      <c r="M227" s="83"/>
      <c r="N227" s="83"/>
      <c r="O227" s="83"/>
      <c r="P227" s="83"/>
      <c r="Q227" s="83"/>
      <c r="R227" s="83"/>
      <c r="S227" s="83"/>
      <c r="T227" s="83"/>
      <c r="U227" s="83"/>
      <c r="V227" s="83"/>
      <c r="W227" s="83"/>
      <c r="X227" s="83"/>
      <c r="Y227" s="83"/>
      <c r="Z227" s="83"/>
      <c r="AA227" s="83"/>
      <c r="AB227" s="83"/>
      <c r="AC227" s="83"/>
      <c r="AD227" s="83"/>
      <c r="AE227" s="83"/>
      <c r="AF227" s="83"/>
      <c r="AG227" s="83"/>
      <c r="AH227" s="83"/>
      <c r="AI227" s="83"/>
      <c r="AJ227" s="83"/>
      <c r="AK227" s="83"/>
      <c r="AL227" s="83"/>
      <c r="AM227" s="83"/>
      <c r="AN227" s="83"/>
      <c r="AO227" s="83"/>
      <c r="AP227" s="83"/>
      <c r="AQ227" s="83"/>
      <c r="AR227" s="83"/>
      <c r="AS227" s="83"/>
    </row>
    <row r="228" spans="1:45" x14ac:dyDescent="0.3">
      <c r="A228" s="80"/>
      <c r="B228" s="80"/>
      <c r="C228" s="80"/>
      <c r="D228" s="83"/>
      <c r="E228" s="83"/>
      <c r="F228" s="83"/>
      <c r="G228" s="83"/>
      <c r="H228" s="83"/>
      <c r="I228" s="83"/>
      <c r="J228" s="83"/>
      <c r="K228" s="83"/>
      <c r="L228" s="83"/>
      <c r="M228" s="83"/>
      <c r="N228" s="83"/>
      <c r="O228" s="83"/>
      <c r="P228" s="83"/>
      <c r="Q228" s="83"/>
      <c r="R228" s="83"/>
      <c r="S228" s="83"/>
      <c r="T228" s="83"/>
      <c r="U228" s="83"/>
      <c r="V228" s="83"/>
      <c r="W228" s="83"/>
      <c r="X228" s="83"/>
      <c r="Y228" s="83"/>
      <c r="Z228" s="83"/>
      <c r="AA228" s="83"/>
      <c r="AB228" s="83"/>
      <c r="AC228" s="83"/>
      <c r="AD228" s="83"/>
      <c r="AE228" s="83"/>
      <c r="AF228" s="83"/>
      <c r="AG228" s="83"/>
      <c r="AH228" s="83"/>
      <c r="AI228" s="83"/>
      <c r="AJ228" s="83"/>
      <c r="AK228" s="83"/>
      <c r="AL228" s="83"/>
      <c r="AM228" s="83"/>
      <c r="AN228" s="83"/>
      <c r="AO228" s="83"/>
      <c r="AP228" s="83"/>
      <c r="AQ228" s="83"/>
      <c r="AR228" s="83"/>
      <c r="AS228" s="83"/>
    </row>
    <row r="229" spans="1:45" x14ac:dyDescent="0.3">
      <c r="A229" s="80"/>
      <c r="B229" s="80"/>
      <c r="C229" s="80"/>
      <c r="D229" s="83"/>
      <c r="E229" s="83"/>
      <c r="F229" s="83"/>
      <c r="G229" s="83"/>
      <c r="H229" s="83"/>
      <c r="I229" s="83"/>
      <c r="J229" s="83"/>
      <c r="K229" s="83"/>
      <c r="L229" s="83"/>
      <c r="M229" s="83"/>
      <c r="N229" s="83"/>
      <c r="O229" s="83"/>
      <c r="P229" s="83"/>
      <c r="Q229" s="83"/>
      <c r="R229" s="83"/>
      <c r="S229" s="83"/>
      <c r="T229" s="83"/>
      <c r="U229" s="83"/>
      <c r="V229" s="83"/>
      <c r="W229" s="83"/>
      <c r="X229" s="83"/>
      <c r="Y229" s="83"/>
      <c r="Z229" s="83"/>
      <c r="AA229" s="83"/>
      <c r="AB229" s="83"/>
      <c r="AC229" s="83"/>
      <c r="AD229" s="83"/>
      <c r="AE229" s="83"/>
      <c r="AF229" s="83"/>
      <c r="AG229" s="83"/>
      <c r="AH229" s="83"/>
      <c r="AI229" s="83"/>
      <c r="AJ229" s="83"/>
      <c r="AK229" s="83"/>
      <c r="AL229" s="83"/>
      <c r="AM229" s="83"/>
      <c r="AN229" s="83"/>
      <c r="AO229" s="83"/>
      <c r="AP229" s="83"/>
      <c r="AQ229" s="83"/>
      <c r="AR229" s="83"/>
      <c r="AS229" s="83"/>
    </row>
    <row r="230" spans="1:45" x14ac:dyDescent="0.3">
      <c r="A230" s="80"/>
      <c r="B230" s="80"/>
      <c r="C230" s="80"/>
      <c r="D230" s="83"/>
      <c r="E230" s="83"/>
      <c r="F230" s="83"/>
      <c r="G230" s="83"/>
      <c r="H230" s="83"/>
      <c r="I230" s="83"/>
      <c r="J230" s="83"/>
      <c r="K230" s="83"/>
      <c r="L230" s="83"/>
      <c r="M230" s="83"/>
      <c r="N230" s="83"/>
      <c r="O230" s="83"/>
      <c r="P230" s="83"/>
      <c r="Q230" s="83"/>
      <c r="R230" s="83"/>
      <c r="S230" s="83"/>
      <c r="T230" s="83"/>
      <c r="U230" s="83"/>
      <c r="V230" s="83"/>
      <c r="W230" s="83"/>
      <c r="X230" s="83"/>
      <c r="Y230" s="83"/>
      <c r="Z230" s="83"/>
      <c r="AA230" s="83"/>
      <c r="AB230" s="83"/>
      <c r="AC230" s="83"/>
      <c r="AD230" s="83"/>
      <c r="AE230" s="83"/>
      <c r="AF230" s="83"/>
      <c r="AG230" s="83"/>
      <c r="AH230" s="83"/>
      <c r="AI230" s="83"/>
      <c r="AJ230" s="83"/>
      <c r="AK230" s="83"/>
      <c r="AL230" s="83"/>
      <c r="AM230" s="83"/>
      <c r="AN230" s="83"/>
      <c r="AO230" s="83"/>
      <c r="AP230" s="83"/>
      <c r="AQ230" s="83"/>
      <c r="AR230" s="83"/>
      <c r="AS230" s="83"/>
    </row>
    <row r="231" spans="1:45" x14ac:dyDescent="0.3">
      <c r="A231" s="80"/>
      <c r="B231" s="80"/>
      <c r="C231" s="80"/>
      <c r="D231" s="83"/>
      <c r="E231" s="83"/>
      <c r="F231" s="83"/>
      <c r="G231" s="83"/>
      <c r="H231" s="83"/>
      <c r="I231" s="83"/>
      <c r="J231" s="83"/>
      <c r="K231" s="83"/>
      <c r="L231" s="83"/>
      <c r="M231" s="83"/>
      <c r="N231" s="83"/>
      <c r="O231" s="83"/>
      <c r="P231" s="83"/>
      <c r="Q231" s="83"/>
      <c r="R231" s="83"/>
      <c r="S231" s="83"/>
      <c r="T231" s="83"/>
      <c r="U231" s="83"/>
      <c r="V231" s="83"/>
      <c r="W231" s="83"/>
      <c r="X231" s="83"/>
      <c r="Y231" s="83"/>
      <c r="Z231" s="83"/>
      <c r="AA231" s="83"/>
      <c r="AB231" s="83"/>
      <c r="AC231" s="83"/>
      <c r="AD231" s="83"/>
      <c r="AE231" s="83"/>
      <c r="AF231" s="83"/>
      <c r="AG231" s="83"/>
      <c r="AH231" s="83"/>
      <c r="AI231" s="83"/>
      <c r="AJ231" s="83"/>
      <c r="AK231" s="83"/>
      <c r="AL231" s="83"/>
      <c r="AM231" s="83"/>
      <c r="AN231" s="83"/>
      <c r="AO231" s="83"/>
      <c r="AP231" s="83"/>
      <c r="AQ231" s="83"/>
      <c r="AR231" s="83"/>
      <c r="AS231" s="83"/>
    </row>
    <row r="232" spans="1:45" x14ac:dyDescent="0.3">
      <c r="A232" s="80"/>
      <c r="B232" s="80"/>
      <c r="C232" s="80"/>
      <c r="D232" s="83"/>
      <c r="E232" s="83"/>
      <c r="F232" s="83"/>
      <c r="G232" s="83"/>
      <c r="H232" s="83"/>
      <c r="I232" s="83"/>
      <c r="J232" s="83"/>
      <c r="K232" s="83"/>
      <c r="L232" s="83"/>
      <c r="M232" s="83"/>
      <c r="N232" s="83"/>
      <c r="O232" s="83"/>
      <c r="P232" s="83"/>
      <c r="Q232" s="83"/>
      <c r="R232" s="83"/>
      <c r="S232" s="83"/>
      <c r="T232" s="83"/>
      <c r="U232" s="83"/>
      <c r="V232" s="83"/>
      <c r="W232" s="83"/>
      <c r="X232" s="83"/>
      <c r="Y232" s="83"/>
      <c r="Z232" s="83"/>
      <c r="AA232" s="83"/>
      <c r="AB232" s="83"/>
      <c r="AC232" s="83"/>
      <c r="AD232" s="83"/>
      <c r="AE232" s="83"/>
      <c r="AF232" s="83"/>
      <c r="AG232" s="83"/>
      <c r="AH232" s="83"/>
      <c r="AI232" s="83"/>
      <c r="AJ232" s="83"/>
      <c r="AK232" s="83"/>
      <c r="AL232" s="83"/>
      <c r="AM232" s="83"/>
      <c r="AN232" s="83"/>
      <c r="AO232" s="83"/>
      <c r="AP232" s="83"/>
      <c r="AQ232" s="83"/>
      <c r="AR232" s="83"/>
      <c r="AS232" s="83"/>
    </row>
    <row r="233" spans="1:45" x14ac:dyDescent="0.3">
      <c r="A233" s="80"/>
      <c r="B233" s="80"/>
      <c r="C233" s="80"/>
      <c r="D233" s="83"/>
      <c r="E233" s="83"/>
      <c r="F233" s="83"/>
      <c r="G233" s="83"/>
      <c r="H233" s="83"/>
      <c r="I233" s="83"/>
      <c r="J233" s="83"/>
      <c r="K233" s="83"/>
      <c r="L233" s="83"/>
      <c r="M233" s="83"/>
      <c r="N233" s="83"/>
      <c r="O233" s="83"/>
      <c r="P233" s="83"/>
      <c r="Q233" s="83"/>
      <c r="R233" s="83"/>
      <c r="S233" s="83"/>
      <c r="T233" s="83"/>
      <c r="U233" s="83"/>
      <c r="V233" s="83"/>
      <c r="W233" s="83"/>
      <c r="X233" s="83"/>
      <c r="Y233" s="83"/>
      <c r="Z233" s="83"/>
      <c r="AA233" s="83"/>
      <c r="AB233" s="83"/>
      <c r="AC233" s="83"/>
      <c r="AD233" s="83"/>
      <c r="AE233" s="83"/>
      <c r="AF233" s="83"/>
      <c r="AG233" s="83"/>
      <c r="AH233" s="83"/>
      <c r="AI233" s="83"/>
      <c r="AJ233" s="83"/>
      <c r="AK233" s="83"/>
      <c r="AL233" s="83"/>
      <c r="AM233" s="83"/>
      <c r="AN233" s="83"/>
      <c r="AO233" s="83"/>
      <c r="AP233" s="83"/>
      <c r="AQ233" s="83"/>
      <c r="AR233" s="83"/>
      <c r="AS233" s="83"/>
    </row>
    <row r="234" spans="1:45" x14ac:dyDescent="0.3">
      <c r="A234" s="80"/>
      <c r="B234" s="80"/>
      <c r="C234" s="80"/>
      <c r="D234" s="83"/>
      <c r="E234" s="83"/>
      <c r="F234" s="83"/>
      <c r="G234" s="83"/>
      <c r="H234" s="83"/>
      <c r="I234" s="83"/>
      <c r="J234" s="83"/>
      <c r="K234" s="83"/>
      <c r="L234" s="83"/>
      <c r="M234" s="83"/>
      <c r="N234" s="83"/>
      <c r="O234" s="83"/>
      <c r="P234" s="83"/>
      <c r="Q234" s="83"/>
      <c r="R234" s="83"/>
      <c r="S234" s="83"/>
      <c r="T234" s="83"/>
      <c r="U234" s="83"/>
      <c r="V234" s="83"/>
      <c r="W234" s="83"/>
      <c r="X234" s="83"/>
      <c r="Y234" s="83"/>
      <c r="Z234" s="83"/>
      <c r="AA234" s="83"/>
      <c r="AB234" s="83"/>
      <c r="AC234" s="83"/>
      <c r="AD234" s="83"/>
      <c r="AE234" s="83"/>
      <c r="AF234" s="83"/>
      <c r="AG234" s="83"/>
      <c r="AH234" s="83"/>
      <c r="AI234" s="83"/>
      <c r="AJ234" s="83"/>
      <c r="AK234" s="83"/>
      <c r="AL234" s="83"/>
      <c r="AM234" s="83"/>
      <c r="AN234" s="83"/>
      <c r="AO234" s="83"/>
      <c r="AP234" s="83"/>
      <c r="AQ234" s="83"/>
      <c r="AR234" s="83"/>
      <c r="AS234" s="83"/>
    </row>
    <row r="235" spans="1:45" x14ac:dyDescent="0.3">
      <c r="A235" s="80"/>
      <c r="B235" s="80"/>
      <c r="C235" s="80"/>
      <c r="D235" s="83"/>
      <c r="E235" s="83"/>
      <c r="F235" s="83"/>
      <c r="G235" s="83"/>
      <c r="H235" s="83"/>
      <c r="I235" s="83"/>
      <c r="J235" s="83"/>
      <c r="K235" s="83"/>
      <c r="L235" s="83"/>
      <c r="M235" s="83"/>
      <c r="N235" s="83"/>
      <c r="O235" s="83"/>
      <c r="P235" s="83"/>
      <c r="Q235" s="83"/>
      <c r="R235" s="83"/>
      <c r="S235" s="83"/>
      <c r="T235" s="83"/>
      <c r="U235" s="83"/>
      <c r="V235" s="83"/>
      <c r="W235" s="83"/>
      <c r="X235" s="83"/>
      <c r="Y235" s="83"/>
      <c r="Z235" s="83"/>
      <c r="AA235" s="83"/>
      <c r="AB235" s="83"/>
      <c r="AC235" s="83"/>
      <c r="AD235" s="83"/>
      <c r="AE235" s="83"/>
      <c r="AF235" s="83"/>
      <c r="AG235" s="83"/>
      <c r="AH235" s="83"/>
      <c r="AI235" s="83"/>
      <c r="AJ235" s="83"/>
      <c r="AK235" s="83"/>
      <c r="AL235" s="83"/>
      <c r="AM235" s="83"/>
      <c r="AN235" s="83"/>
      <c r="AO235" s="83"/>
      <c r="AP235" s="83"/>
      <c r="AQ235" s="83"/>
      <c r="AR235" s="83"/>
      <c r="AS235" s="83"/>
    </row>
    <row r="236" spans="1:45" x14ac:dyDescent="0.3">
      <c r="A236" s="80"/>
      <c r="B236" s="80"/>
      <c r="C236" s="80"/>
      <c r="D236" s="83"/>
      <c r="E236" s="83"/>
      <c r="F236" s="83"/>
      <c r="G236" s="83"/>
      <c r="H236" s="83"/>
      <c r="I236" s="83"/>
      <c r="J236" s="83"/>
      <c r="K236" s="83"/>
      <c r="L236" s="83"/>
      <c r="M236" s="83"/>
      <c r="N236" s="83"/>
      <c r="O236" s="83"/>
      <c r="P236" s="83"/>
      <c r="Q236" s="83"/>
      <c r="R236" s="83"/>
      <c r="S236" s="83"/>
      <c r="T236" s="83"/>
      <c r="U236" s="83"/>
      <c r="V236" s="83"/>
      <c r="W236" s="83"/>
      <c r="X236" s="83"/>
      <c r="Y236" s="83"/>
      <c r="Z236" s="83"/>
      <c r="AA236" s="83"/>
      <c r="AB236" s="83"/>
      <c r="AC236" s="83"/>
      <c r="AD236" s="83"/>
      <c r="AE236" s="83"/>
      <c r="AF236" s="83"/>
      <c r="AG236" s="83"/>
      <c r="AH236" s="83"/>
      <c r="AI236" s="83"/>
      <c r="AJ236" s="83"/>
      <c r="AK236" s="83"/>
      <c r="AL236" s="83"/>
      <c r="AM236" s="83"/>
      <c r="AN236" s="83"/>
      <c r="AO236" s="83"/>
      <c r="AP236" s="83"/>
      <c r="AQ236" s="83"/>
      <c r="AR236" s="83"/>
      <c r="AS236" s="83"/>
    </row>
    <row r="237" spans="1:45" x14ac:dyDescent="0.3">
      <c r="A237" s="80"/>
      <c r="B237" s="80"/>
      <c r="C237" s="80"/>
      <c r="D237" s="83"/>
      <c r="E237" s="83"/>
      <c r="F237" s="83"/>
      <c r="G237" s="83"/>
      <c r="H237" s="83"/>
      <c r="I237" s="83"/>
      <c r="J237" s="83"/>
      <c r="K237" s="83"/>
      <c r="L237" s="83"/>
      <c r="M237" s="83"/>
      <c r="N237" s="83"/>
      <c r="O237" s="83"/>
      <c r="P237" s="83"/>
      <c r="Q237" s="83"/>
      <c r="R237" s="83"/>
      <c r="S237" s="83"/>
      <c r="T237" s="83"/>
      <c r="U237" s="83"/>
      <c r="V237" s="83"/>
      <c r="W237" s="83"/>
      <c r="X237" s="83"/>
      <c r="Y237" s="83"/>
      <c r="Z237" s="83"/>
      <c r="AA237" s="83"/>
      <c r="AB237" s="83"/>
      <c r="AC237" s="83"/>
      <c r="AD237" s="83"/>
      <c r="AE237" s="83"/>
      <c r="AF237" s="83"/>
      <c r="AG237" s="83"/>
      <c r="AH237" s="83"/>
      <c r="AI237" s="83"/>
      <c r="AJ237" s="83"/>
      <c r="AK237" s="83"/>
      <c r="AL237" s="83"/>
      <c r="AM237" s="83"/>
      <c r="AN237" s="83"/>
      <c r="AO237" s="83"/>
      <c r="AP237" s="83"/>
      <c r="AQ237" s="83"/>
      <c r="AR237" s="83"/>
      <c r="AS237" s="83"/>
    </row>
    <row r="238" spans="1:45" x14ac:dyDescent="0.3">
      <c r="A238" s="80"/>
      <c r="B238" s="80"/>
      <c r="C238" s="80"/>
      <c r="D238" s="83"/>
      <c r="E238" s="83"/>
      <c r="F238" s="83"/>
      <c r="G238" s="83"/>
      <c r="H238" s="83"/>
      <c r="I238" s="83"/>
      <c r="J238" s="83"/>
      <c r="K238" s="83"/>
      <c r="L238" s="83"/>
      <c r="M238" s="83"/>
      <c r="N238" s="83"/>
      <c r="O238" s="83"/>
      <c r="P238" s="83"/>
      <c r="Q238" s="83"/>
      <c r="R238" s="83"/>
      <c r="S238" s="83"/>
      <c r="T238" s="83"/>
      <c r="U238" s="83"/>
      <c r="V238" s="83"/>
      <c r="W238" s="83"/>
      <c r="X238" s="83"/>
      <c r="Y238" s="83"/>
      <c r="Z238" s="83"/>
      <c r="AA238" s="83"/>
      <c r="AB238" s="83"/>
      <c r="AC238" s="83"/>
      <c r="AD238" s="83"/>
      <c r="AE238" s="83"/>
      <c r="AF238" s="83"/>
      <c r="AG238" s="83"/>
      <c r="AH238" s="83"/>
      <c r="AI238" s="83"/>
      <c r="AJ238" s="83"/>
      <c r="AK238" s="83"/>
      <c r="AL238" s="83"/>
      <c r="AM238" s="83"/>
      <c r="AN238" s="83"/>
      <c r="AO238" s="83"/>
      <c r="AP238" s="83"/>
      <c r="AQ238" s="83"/>
      <c r="AR238" s="83"/>
      <c r="AS238" s="83"/>
    </row>
    <row r="239" spans="1:45" x14ac:dyDescent="0.3">
      <c r="A239" s="80"/>
      <c r="B239" s="80"/>
      <c r="C239" s="80"/>
      <c r="D239" s="83"/>
      <c r="E239" s="83"/>
      <c r="F239" s="83"/>
      <c r="G239" s="83"/>
      <c r="H239" s="83"/>
      <c r="I239" s="83"/>
      <c r="J239" s="83"/>
      <c r="K239" s="83"/>
      <c r="L239" s="83"/>
      <c r="M239" s="83"/>
      <c r="N239" s="83"/>
      <c r="O239" s="83"/>
      <c r="P239" s="83"/>
      <c r="Q239" s="83"/>
      <c r="R239" s="83"/>
      <c r="S239" s="83"/>
      <c r="T239" s="83"/>
      <c r="U239" s="83"/>
      <c r="V239" s="83"/>
      <c r="W239" s="83"/>
      <c r="X239" s="83"/>
      <c r="Y239" s="83"/>
      <c r="Z239" s="83"/>
      <c r="AA239" s="83"/>
      <c r="AB239" s="83"/>
      <c r="AC239" s="83"/>
      <c r="AD239" s="83"/>
      <c r="AE239" s="83"/>
      <c r="AF239" s="83"/>
      <c r="AG239" s="83"/>
      <c r="AH239" s="83"/>
      <c r="AI239" s="83"/>
      <c r="AJ239" s="83"/>
      <c r="AK239" s="83"/>
      <c r="AL239" s="83"/>
      <c r="AM239" s="83"/>
      <c r="AN239" s="83"/>
      <c r="AO239" s="83"/>
      <c r="AP239" s="83"/>
      <c r="AQ239" s="83"/>
      <c r="AR239" s="83"/>
      <c r="AS239" s="83"/>
    </row>
    <row r="240" spans="1:45" x14ac:dyDescent="0.3">
      <c r="A240" s="80"/>
      <c r="B240" s="80"/>
      <c r="C240" s="80"/>
      <c r="D240" s="83"/>
      <c r="E240" s="83"/>
      <c r="F240" s="83"/>
      <c r="G240" s="83"/>
      <c r="H240" s="83"/>
      <c r="I240" s="83"/>
      <c r="J240" s="83"/>
      <c r="K240" s="83"/>
      <c r="L240" s="83"/>
      <c r="M240" s="83"/>
      <c r="N240" s="83"/>
      <c r="O240" s="83"/>
      <c r="P240" s="83"/>
      <c r="Q240" s="83"/>
      <c r="R240" s="83"/>
      <c r="S240" s="83"/>
      <c r="T240" s="83"/>
      <c r="U240" s="83"/>
      <c r="V240" s="83"/>
      <c r="W240" s="83"/>
      <c r="X240" s="83"/>
      <c r="Y240" s="83"/>
      <c r="Z240" s="83"/>
      <c r="AA240" s="83"/>
      <c r="AB240" s="83"/>
      <c r="AC240" s="83"/>
      <c r="AD240" s="83"/>
      <c r="AE240" s="83"/>
      <c r="AF240" s="83"/>
      <c r="AG240" s="83"/>
      <c r="AH240" s="83"/>
      <c r="AI240" s="83"/>
      <c r="AJ240" s="83"/>
      <c r="AK240" s="83"/>
      <c r="AL240" s="83"/>
      <c r="AM240" s="83"/>
      <c r="AN240" s="83"/>
      <c r="AO240" s="83"/>
      <c r="AP240" s="83"/>
      <c r="AQ240" s="83"/>
      <c r="AR240" s="83"/>
      <c r="AS240" s="83"/>
    </row>
    <row r="241" spans="1:45" x14ac:dyDescent="0.3">
      <c r="A241" s="80"/>
      <c r="B241" s="80"/>
      <c r="C241" s="80"/>
      <c r="D241" s="83"/>
      <c r="E241" s="83"/>
      <c r="F241" s="83"/>
      <c r="G241" s="83"/>
      <c r="H241" s="83"/>
      <c r="I241" s="83"/>
      <c r="J241" s="83"/>
      <c r="K241" s="83"/>
      <c r="L241" s="83"/>
      <c r="M241" s="83"/>
      <c r="N241" s="83"/>
      <c r="O241" s="83"/>
      <c r="P241" s="83"/>
      <c r="Q241" s="83"/>
      <c r="R241" s="83"/>
      <c r="S241" s="83"/>
      <c r="T241" s="83"/>
      <c r="U241" s="83"/>
      <c r="V241" s="83"/>
      <c r="W241" s="83"/>
      <c r="X241" s="83"/>
      <c r="Y241" s="83"/>
      <c r="Z241" s="83"/>
      <c r="AA241" s="83"/>
      <c r="AB241" s="83"/>
      <c r="AC241" s="83"/>
      <c r="AD241" s="83"/>
      <c r="AE241" s="83"/>
      <c r="AF241" s="83"/>
      <c r="AG241" s="83"/>
      <c r="AH241" s="83"/>
      <c r="AI241" s="83"/>
      <c r="AJ241" s="83"/>
      <c r="AK241" s="83"/>
      <c r="AL241" s="83"/>
      <c r="AM241" s="83"/>
      <c r="AN241" s="83"/>
      <c r="AO241" s="83"/>
      <c r="AP241" s="83"/>
      <c r="AQ241" s="83"/>
      <c r="AR241" s="83"/>
      <c r="AS241" s="83"/>
    </row>
    <row r="242" spans="1:45" x14ac:dyDescent="0.3">
      <c r="A242" s="80"/>
      <c r="B242" s="80"/>
      <c r="C242" s="80"/>
      <c r="D242" s="83"/>
      <c r="E242" s="83"/>
      <c r="F242" s="83"/>
      <c r="G242" s="83"/>
      <c r="H242" s="83"/>
      <c r="I242" s="83"/>
      <c r="J242" s="83"/>
      <c r="K242" s="83"/>
      <c r="L242" s="83"/>
      <c r="M242" s="83"/>
      <c r="N242" s="83"/>
      <c r="O242" s="83"/>
      <c r="P242" s="83"/>
      <c r="Q242" s="83"/>
      <c r="R242" s="83"/>
      <c r="S242" s="83"/>
      <c r="T242" s="83"/>
      <c r="U242" s="83"/>
      <c r="V242" s="83"/>
      <c r="W242" s="83"/>
      <c r="X242" s="83"/>
      <c r="Y242" s="83"/>
      <c r="Z242" s="83"/>
      <c r="AA242" s="83"/>
      <c r="AB242" s="83"/>
      <c r="AC242" s="83"/>
      <c r="AD242" s="83"/>
      <c r="AE242" s="83"/>
      <c r="AF242" s="83"/>
      <c r="AG242" s="83"/>
      <c r="AH242" s="83"/>
      <c r="AI242" s="83"/>
      <c r="AJ242" s="83"/>
      <c r="AK242" s="83"/>
      <c r="AL242" s="83"/>
      <c r="AM242" s="83"/>
      <c r="AN242" s="83"/>
      <c r="AO242" s="83"/>
      <c r="AP242" s="83"/>
      <c r="AQ242" s="83"/>
      <c r="AR242" s="83"/>
      <c r="AS242" s="83"/>
    </row>
    <row r="243" spans="1:45" x14ac:dyDescent="0.3">
      <c r="A243" s="80"/>
      <c r="B243" s="80"/>
      <c r="C243" s="80"/>
      <c r="D243" s="83"/>
      <c r="E243" s="83"/>
      <c r="F243" s="83"/>
      <c r="G243" s="83"/>
      <c r="H243" s="83"/>
      <c r="I243" s="83"/>
      <c r="J243" s="83"/>
      <c r="K243" s="83"/>
      <c r="L243" s="83"/>
      <c r="M243" s="83"/>
      <c r="N243" s="83"/>
      <c r="O243" s="83"/>
      <c r="P243" s="83"/>
      <c r="Q243" s="83"/>
      <c r="R243" s="83"/>
      <c r="S243" s="83"/>
      <c r="T243" s="83"/>
      <c r="U243" s="83"/>
      <c r="V243" s="83"/>
      <c r="W243" s="83"/>
      <c r="X243" s="83"/>
      <c r="Y243" s="83"/>
      <c r="Z243" s="83"/>
      <c r="AA243" s="83"/>
      <c r="AB243" s="83"/>
      <c r="AC243" s="83"/>
      <c r="AD243" s="83"/>
      <c r="AE243" s="83"/>
      <c r="AF243" s="83"/>
      <c r="AG243" s="83"/>
      <c r="AH243" s="83"/>
      <c r="AI243" s="83"/>
      <c r="AJ243" s="83"/>
      <c r="AK243" s="83"/>
      <c r="AL243" s="83"/>
      <c r="AM243" s="83"/>
      <c r="AN243" s="83"/>
      <c r="AO243" s="83"/>
      <c r="AP243" s="83"/>
      <c r="AQ243" s="83"/>
      <c r="AR243" s="83"/>
      <c r="AS243" s="83"/>
    </row>
    <row r="244" spans="1:45" x14ac:dyDescent="0.3">
      <c r="A244" s="80"/>
      <c r="B244" s="80"/>
      <c r="C244" s="80"/>
      <c r="D244" s="83"/>
      <c r="E244" s="83"/>
      <c r="F244" s="83"/>
      <c r="G244" s="83"/>
      <c r="H244" s="83"/>
      <c r="I244" s="83"/>
      <c r="J244" s="83"/>
      <c r="K244" s="83"/>
      <c r="L244" s="83"/>
      <c r="M244" s="83"/>
      <c r="N244" s="83"/>
      <c r="O244" s="83"/>
      <c r="P244" s="83"/>
      <c r="Q244" s="83"/>
      <c r="R244" s="83"/>
      <c r="S244" s="83"/>
      <c r="T244" s="83"/>
      <c r="U244" s="83"/>
      <c r="V244" s="83"/>
      <c r="W244" s="83"/>
      <c r="X244" s="83"/>
      <c r="Y244" s="83"/>
      <c r="Z244" s="83"/>
      <c r="AA244" s="83"/>
      <c r="AB244" s="83"/>
      <c r="AC244" s="83"/>
      <c r="AD244" s="83"/>
      <c r="AE244" s="83"/>
      <c r="AF244" s="83"/>
      <c r="AG244" s="83"/>
      <c r="AH244" s="83"/>
      <c r="AI244" s="83"/>
      <c r="AJ244" s="83"/>
      <c r="AK244" s="83"/>
      <c r="AL244" s="83"/>
      <c r="AM244" s="83"/>
      <c r="AN244" s="83"/>
      <c r="AO244" s="83"/>
      <c r="AP244" s="83"/>
      <c r="AQ244" s="83"/>
      <c r="AR244" s="83"/>
      <c r="AS244" s="83"/>
    </row>
    <row r="245" spans="1:45" x14ac:dyDescent="0.3">
      <c r="A245" s="80"/>
      <c r="B245" s="80"/>
      <c r="C245" s="80"/>
      <c r="D245" s="83"/>
      <c r="E245" s="83"/>
      <c r="F245" s="83"/>
      <c r="G245" s="83"/>
      <c r="H245" s="83"/>
      <c r="I245" s="83"/>
      <c r="J245" s="83"/>
      <c r="K245" s="83"/>
      <c r="L245" s="83"/>
      <c r="M245" s="83"/>
      <c r="N245" s="83"/>
      <c r="O245" s="83"/>
      <c r="P245" s="83"/>
      <c r="Q245" s="83"/>
      <c r="R245" s="83"/>
      <c r="S245" s="83"/>
      <c r="T245" s="83"/>
      <c r="U245" s="83"/>
      <c r="V245" s="83"/>
      <c r="W245" s="83"/>
      <c r="X245" s="83"/>
      <c r="Y245" s="83"/>
      <c r="Z245" s="83"/>
      <c r="AA245" s="83"/>
      <c r="AB245" s="83"/>
      <c r="AC245" s="83"/>
      <c r="AD245" s="83"/>
      <c r="AE245" s="83"/>
      <c r="AF245" s="83"/>
      <c r="AG245" s="83"/>
      <c r="AH245" s="83"/>
      <c r="AI245" s="83"/>
      <c r="AJ245" s="83"/>
      <c r="AK245" s="83"/>
      <c r="AL245" s="83"/>
      <c r="AM245" s="83"/>
      <c r="AN245" s="83"/>
      <c r="AO245" s="83"/>
      <c r="AP245" s="83"/>
      <c r="AQ245" s="83"/>
      <c r="AR245" s="83"/>
      <c r="AS245" s="83"/>
    </row>
    <row r="246" spans="1:45" x14ac:dyDescent="0.3">
      <c r="A246" s="80"/>
      <c r="B246" s="80"/>
      <c r="C246" s="80"/>
      <c r="D246" s="83"/>
      <c r="E246" s="83"/>
      <c r="F246" s="83"/>
      <c r="G246" s="83"/>
      <c r="H246" s="83"/>
      <c r="I246" s="83"/>
      <c r="J246" s="83"/>
      <c r="K246" s="83"/>
      <c r="L246" s="83"/>
      <c r="M246" s="83"/>
      <c r="N246" s="83"/>
      <c r="O246" s="83"/>
      <c r="P246" s="83"/>
      <c r="Q246" s="83"/>
      <c r="R246" s="83"/>
      <c r="S246" s="83"/>
      <c r="T246" s="83"/>
      <c r="U246" s="83"/>
      <c r="V246" s="83"/>
      <c r="W246" s="83"/>
      <c r="X246" s="83"/>
      <c r="Y246" s="83"/>
      <c r="Z246" s="83"/>
      <c r="AA246" s="83"/>
      <c r="AB246" s="83"/>
      <c r="AC246" s="83"/>
      <c r="AD246" s="83"/>
      <c r="AE246" s="83"/>
      <c r="AF246" s="83"/>
      <c r="AG246" s="83"/>
      <c r="AH246" s="83"/>
      <c r="AI246" s="83"/>
      <c r="AJ246" s="83"/>
      <c r="AK246" s="83"/>
      <c r="AL246" s="83"/>
      <c r="AM246" s="83"/>
      <c r="AN246" s="83"/>
      <c r="AO246" s="83"/>
      <c r="AP246" s="83"/>
      <c r="AQ246" s="83"/>
      <c r="AR246" s="83"/>
      <c r="AS246" s="83"/>
    </row>
    <row r="247" spans="1:45" x14ac:dyDescent="0.3">
      <c r="A247" s="80"/>
      <c r="B247" s="80"/>
      <c r="C247" s="80"/>
      <c r="D247" s="83"/>
      <c r="E247" s="83"/>
      <c r="F247" s="83"/>
      <c r="G247" s="83"/>
      <c r="H247" s="83"/>
      <c r="I247" s="83"/>
      <c r="J247" s="83"/>
      <c r="K247" s="83"/>
      <c r="L247" s="83"/>
      <c r="M247" s="83"/>
      <c r="N247" s="83"/>
      <c r="O247" s="83"/>
      <c r="P247" s="83"/>
      <c r="Q247" s="83"/>
      <c r="R247" s="83"/>
      <c r="S247" s="83"/>
      <c r="T247" s="83"/>
      <c r="U247" s="83"/>
      <c r="V247" s="83"/>
      <c r="W247" s="83"/>
      <c r="X247" s="83"/>
      <c r="Y247" s="83"/>
      <c r="Z247" s="83"/>
      <c r="AA247" s="83"/>
      <c r="AB247" s="83"/>
      <c r="AC247" s="83"/>
      <c r="AD247" s="83"/>
      <c r="AE247" s="83"/>
      <c r="AF247" s="83"/>
      <c r="AG247" s="83"/>
      <c r="AH247" s="83"/>
      <c r="AI247" s="83"/>
      <c r="AJ247" s="83"/>
      <c r="AK247" s="83"/>
      <c r="AL247" s="83"/>
      <c r="AM247" s="83"/>
      <c r="AN247" s="83"/>
      <c r="AO247" s="83"/>
      <c r="AP247" s="83"/>
      <c r="AQ247" s="83"/>
      <c r="AR247" s="83"/>
      <c r="AS247" s="83"/>
    </row>
    <row r="248" spans="1:45" x14ac:dyDescent="0.3">
      <c r="A248" s="80"/>
      <c r="B248" s="80"/>
      <c r="C248" s="80"/>
      <c r="D248" s="83"/>
      <c r="E248" s="83"/>
      <c r="F248" s="83"/>
      <c r="G248" s="83"/>
      <c r="H248" s="83"/>
      <c r="I248" s="83"/>
      <c r="J248" s="83"/>
      <c r="K248" s="83"/>
      <c r="L248" s="83"/>
      <c r="M248" s="83"/>
      <c r="N248" s="83"/>
      <c r="O248" s="83"/>
      <c r="P248" s="83"/>
      <c r="Q248" s="83"/>
      <c r="R248" s="83"/>
      <c r="S248" s="83"/>
      <c r="T248" s="83"/>
      <c r="U248" s="83"/>
      <c r="V248" s="83"/>
      <c r="W248" s="83"/>
      <c r="X248" s="83"/>
      <c r="Y248" s="83"/>
      <c r="Z248" s="83"/>
      <c r="AA248" s="83"/>
      <c r="AB248" s="83"/>
      <c r="AC248" s="83"/>
      <c r="AD248" s="83"/>
      <c r="AE248" s="83"/>
      <c r="AF248" s="83"/>
      <c r="AG248" s="83"/>
      <c r="AH248" s="83"/>
      <c r="AI248" s="83"/>
      <c r="AJ248" s="83"/>
      <c r="AK248" s="83"/>
      <c r="AL248" s="83"/>
      <c r="AM248" s="83"/>
      <c r="AN248" s="83"/>
      <c r="AO248" s="83"/>
      <c r="AP248" s="83"/>
      <c r="AQ248" s="83"/>
      <c r="AR248" s="83"/>
      <c r="AS248" s="83"/>
    </row>
  </sheetData>
  <mergeCells count="9">
    <mergeCell ref="E3:Q3"/>
    <mergeCell ref="F139:I139"/>
    <mergeCell ref="F172:I172"/>
    <mergeCell ref="F14:K14"/>
    <mergeCell ref="F15:K15"/>
    <mergeCell ref="F16:K16"/>
    <mergeCell ref="F19:H19"/>
    <mergeCell ref="F127:I127"/>
    <mergeCell ref="F128:G128"/>
  </mergeCells>
  <conditionalFormatting sqref="G82">
    <cfRule type="cellIs" dxfId="0" priority="2" operator="notEqual">
      <formula>1</formula>
    </cfRule>
  </conditionalFormatting>
  <dataValidations count="4">
    <dataValidation errorStyle="warning" allowBlank="1" showInputMessage="1" showErrorMessage="1" error="Note that this value differs from the options in the dropdown menu (1000 mg and 1500 mg), but can still be selected without interference with the model calculations." sqref="F41:H41 H42" xr:uid="{6488D489-1000-484F-8571-98339DA730FB}"/>
    <dataValidation allowBlank="1" showInputMessage="1" showErrorMessage="1" error="jsjs" sqref="F34" xr:uid="{7BD331BE-806E-4026-8F95-4C5FA71CC4C8}"/>
    <dataValidation type="whole" errorStyle="warning" operator="equal" allowBlank="1" showInputMessage="1" showErrorMessage="1" errorTitle="Warning" error="Note that this value differs from the expected value (600 mg), but can still be selected without interference with the model calculations." sqref="F48" xr:uid="{181079F2-6EA4-416B-8518-341E9CABF3F7}">
      <formula1>600</formula1>
    </dataValidation>
    <dataValidation errorStyle="warning" allowBlank="1" showInputMessage="1" showErrorMessage="1" errorTitle="Warning" error="Note that this value differs from the options in the dropdown menu (1000 mg or 2000 mg), but can still be selected without interference with the model calculations." sqref="F51" xr:uid="{07B9C788-D248-4B75-9508-2176B11A5E04}"/>
  </dataValidations>
  <pageMargins left="0.7" right="0.7" top="0.75" bottom="0.75" header="0.3" footer="0.3"/>
  <pageSetup orientation="portrait" horizontalDpi="0"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0900" r:id="rId4" name="Drop Down 4">
              <controlPr defaultSize="0" autoLine="0" autoPict="0">
                <anchor moveWithCells="1">
                  <from>
                    <xdr:col>5</xdr:col>
                    <xdr:colOff>739140</xdr:colOff>
                    <xdr:row>117</xdr:row>
                    <xdr:rowOff>68580</xdr:rowOff>
                  </from>
                  <to>
                    <xdr:col>9</xdr:col>
                    <xdr:colOff>76200</xdr:colOff>
                    <xdr:row>118</xdr:row>
                    <xdr:rowOff>228600</xdr:rowOff>
                  </to>
                </anchor>
              </controlPr>
            </control>
          </mc:Choice>
        </mc:AlternateContent>
        <mc:AlternateContent xmlns:mc="http://schemas.openxmlformats.org/markup-compatibility/2006">
          <mc:Choice Requires="x14">
            <control shapeId="80901" r:id="rId5" name="Drop Down 5">
              <controlPr defaultSize="0" autoLine="0" autoPict="0">
                <anchor moveWithCells="1">
                  <from>
                    <xdr:col>4</xdr:col>
                    <xdr:colOff>2583180</xdr:colOff>
                    <xdr:row>168</xdr:row>
                    <xdr:rowOff>15240</xdr:rowOff>
                  </from>
                  <to>
                    <xdr:col>7</xdr:col>
                    <xdr:colOff>723900</xdr:colOff>
                    <xdr:row>169</xdr:row>
                    <xdr:rowOff>190500</xdr:rowOff>
                  </to>
                </anchor>
              </controlPr>
            </control>
          </mc:Choice>
        </mc:AlternateContent>
        <mc:AlternateContent xmlns:mc="http://schemas.openxmlformats.org/markup-compatibility/2006">
          <mc:Choice Requires="x14">
            <control shapeId="80903" r:id="rId6" name="Check Box 7">
              <controlPr defaultSize="0" autoFill="0" autoLine="0" autoPict="0">
                <anchor moveWithCells="1">
                  <from>
                    <xdr:col>4</xdr:col>
                    <xdr:colOff>1188720</xdr:colOff>
                    <xdr:row>90</xdr:row>
                    <xdr:rowOff>144780</xdr:rowOff>
                  </from>
                  <to>
                    <xdr:col>4</xdr:col>
                    <xdr:colOff>2057400</xdr:colOff>
                    <xdr:row>92</xdr:row>
                    <xdr:rowOff>38100</xdr:rowOff>
                  </to>
                </anchor>
              </controlPr>
            </control>
          </mc:Choice>
        </mc:AlternateContent>
        <mc:AlternateContent xmlns:mc="http://schemas.openxmlformats.org/markup-compatibility/2006">
          <mc:Choice Requires="x14">
            <control shapeId="80904" r:id="rId7" name="Check Box 8">
              <controlPr defaultSize="0" autoFill="0" autoLine="0" autoPict="0">
                <anchor moveWithCells="1">
                  <from>
                    <xdr:col>4</xdr:col>
                    <xdr:colOff>1188720</xdr:colOff>
                    <xdr:row>91</xdr:row>
                    <xdr:rowOff>144780</xdr:rowOff>
                  </from>
                  <to>
                    <xdr:col>4</xdr:col>
                    <xdr:colOff>2057400</xdr:colOff>
                    <xdr:row>93</xdr:row>
                    <xdr:rowOff>38100</xdr:rowOff>
                  </to>
                </anchor>
              </controlPr>
            </control>
          </mc:Choice>
        </mc:AlternateContent>
        <mc:AlternateContent xmlns:mc="http://schemas.openxmlformats.org/markup-compatibility/2006">
          <mc:Choice Requires="x14">
            <control shapeId="80905" r:id="rId8" name="Check Box 9">
              <controlPr defaultSize="0" autoFill="0" autoLine="0" autoPict="0">
                <anchor moveWithCells="1">
                  <from>
                    <xdr:col>4</xdr:col>
                    <xdr:colOff>1188720</xdr:colOff>
                    <xdr:row>92</xdr:row>
                    <xdr:rowOff>152400</xdr:rowOff>
                  </from>
                  <to>
                    <xdr:col>4</xdr:col>
                    <xdr:colOff>2057400</xdr:colOff>
                    <xdr:row>94</xdr:row>
                    <xdr:rowOff>38100</xdr:rowOff>
                  </to>
                </anchor>
              </controlPr>
            </control>
          </mc:Choice>
        </mc:AlternateContent>
        <mc:AlternateContent xmlns:mc="http://schemas.openxmlformats.org/markup-compatibility/2006">
          <mc:Choice Requires="x14">
            <control shapeId="80906" r:id="rId9" name="Check Box 10">
              <controlPr defaultSize="0" autoFill="0" autoLine="0" autoPict="0">
                <anchor moveWithCells="1">
                  <from>
                    <xdr:col>4</xdr:col>
                    <xdr:colOff>1188720</xdr:colOff>
                    <xdr:row>93</xdr:row>
                    <xdr:rowOff>152400</xdr:rowOff>
                  </from>
                  <to>
                    <xdr:col>4</xdr:col>
                    <xdr:colOff>2057400</xdr:colOff>
                    <xdr:row>95</xdr:row>
                    <xdr:rowOff>38100</xdr:rowOff>
                  </to>
                </anchor>
              </controlPr>
            </control>
          </mc:Choice>
        </mc:AlternateContent>
        <mc:AlternateContent xmlns:mc="http://schemas.openxmlformats.org/markup-compatibility/2006">
          <mc:Choice Requires="x14">
            <control shapeId="80907" r:id="rId10" name="Check Box 11">
              <controlPr defaultSize="0" autoFill="0" autoLine="0" autoPict="0">
                <anchor moveWithCells="1">
                  <from>
                    <xdr:col>4</xdr:col>
                    <xdr:colOff>1188720</xdr:colOff>
                    <xdr:row>94</xdr:row>
                    <xdr:rowOff>160020</xdr:rowOff>
                  </from>
                  <to>
                    <xdr:col>4</xdr:col>
                    <xdr:colOff>2057400</xdr:colOff>
                    <xdr:row>96</xdr:row>
                    <xdr:rowOff>38100</xdr:rowOff>
                  </to>
                </anchor>
              </controlPr>
            </control>
          </mc:Choice>
        </mc:AlternateContent>
        <mc:AlternateContent xmlns:mc="http://schemas.openxmlformats.org/markup-compatibility/2006">
          <mc:Choice Requires="x14">
            <control shapeId="80908" r:id="rId11" name="Check Box 12">
              <controlPr defaultSize="0" autoFill="0" autoLine="0" autoPict="0">
                <anchor moveWithCells="1">
                  <from>
                    <xdr:col>4</xdr:col>
                    <xdr:colOff>1188720</xdr:colOff>
                    <xdr:row>95</xdr:row>
                    <xdr:rowOff>160020</xdr:rowOff>
                  </from>
                  <to>
                    <xdr:col>4</xdr:col>
                    <xdr:colOff>2057400</xdr:colOff>
                    <xdr:row>97</xdr:row>
                    <xdr:rowOff>38100</xdr:rowOff>
                  </to>
                </anchor>
              </controlPr>
            </control>
          </mc:Choice>
        </mc:AlternateContent>
        <mc:AlternateContent xmlns:mc="http://schemas.openxmlformats.org/markup-compatibility/2006">
          <mc:Choice Requires="x14">
            <control shapeId="80910" r:id="rId12" name="Drop Down 14">
              <controlPr defaultSize="0" autoLine="0" autoPict="0">
                <anchor moveWithCells="1">
                  <from>
                    <xdr:col>5</xdr:col>
                    <xdr:colOff>922020</xdr:colOff>
                    <xdr:row>148</xdr:row>
                    <xdr:rowOff>68580</xdr:rowOff>
                  </from>
                  <to>
                    <xdr:col>9</xdr:col>
                    <xdr:colOff>259080</xdr:colOff>
                    <xdr:row>150</xdr:row>
                    <xdr:rowOff>38100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errorStyle="warning" allowBlank="1" showInputMessage="1" showErrorMessage="1" errorTitle="Warning" error="Note that this value differs from the options in the dropdown menu (1000 mg or 2000 mg), but can still be selected without interference with the model calculations." xr:uid="{5D979CAE-52DF-483E-8CDB-6EF57D195D41}">
          <x14:formula1>
            <xm:f>List!$B$20:$B$21</xm:f>
          </x14:formula1>
          <xm:sqref>F50</xm:sqref>
        </x14:dataValidation>
        <x14:dataValidation type="list" errorStyle="warning" allowBlank="1" showInputMessage="1" showErrorMessage="1" errorTitle="Warning" error="Note that this value differs from the options in the dropdown menu (1000 mg, 2000 mg, and 3000 mg), but can still be selected without interference with the model calculations." xr:uid="{5B306BF4-221C-4F05-8EDD-F5612248D4D0}">
          <x14:formula1>
            <xm:f>List!$B$20:$B$22</xm:f>
          </x14:formula1>
          <xm:sqref>F47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AAEF9-1183-4B3B-ABE5-27D35D05AE4E}">
  <sheetPr codeName="Sheet2"/>
  <dimension ref="B1:Q107"/>
  <sheetViews>
    <sheetView workbookViewId="0">
      <selection activeCell="E3" sqref="E3:Q3"/>
    </sheetView>
  </sheetViews>
  <sheetFormatPr defaultColWidth="8.88671875" defaultRowHeight="14.4" x14ac:dyDescent="0.3"/>
  <cols>
    <col min="2" max="2" width="48.88671875" customWidth="1"/>
    <col min="3" max="3" width="16.5546875" customWidth="1"/>
  </cols>
  <sheetData>
    <row r="1" spans="2:17" ht="15.45" customHeight="1" x14ac:dyDescent="0.3">
      <c r="B1" s="188" t="s">
        <v>331</v>
      </c>
      <c r="C1" s="188"/>
      <c r="D1" s="188"/>
      <c r="E1" s="188"/>
      <c r="F1" s="188"/>
      <c r="G1" s="188"/>
      <c r="H1" s="188"/>
      <c r="I1" s="188"/>
      <c r="J1" s="188"/>
      <c r="K1" s="188"/>
      <c r="L1" s="188"/>
      <c r="M1" s="188"/>
      <c r="N1" s="188"/>
    </row>
    <row r="2" spans="2:17" x14ac:dyDescent="0.3">
      <c r="B2" s="61" t="s">
        <v>201</v>
      </c>
    </row>
    <row r="4" spans="2:17" x14ac:dyDescent="0.3">
      <c r="B4" t="s">
        <v>202</v>
      </c>
      <c r="C4">
        <v>715</v>
      </c>
      <c r="D4" s="62" t="s">
        <v>203</v>
      </c>
      <c r="Q4" s="69" t="s">
        <v>204</v>
      </c>
    </row>
    <row r="5" spans="2:17" x14ac:dyDescent="0.3">
      <c r="B5" s="63" t="s">
        <v>205</v>
      </c>
      <c r="C5" t="s">
        <v>206</v>
      </c>
      <c r="D5" t="s">
        <v>207</v>
      </c>
    </row>
    <row r="6" spans="2:17" x14ac:dyDescent="0.3">
      <c r="B6" s="63" t="s">
        <v>208</v>
      </c>
    </row>
    <row r="7" spans="2:17" x14ac:dyDescent="0.3">
      <c r="B7" s="64" t="s">
        <v>209</v>
      </c>
      <c r="C7" s="65">
        <v>17</v>
      </c>
      <c r="D7" s="62" t="s">
        <v>210</v>
      </c>
    </row>
    <row r="8" spans="2:17" x14ac:dyDescent="0.3">
      <c r="B8" s="64" t="s">
        <v>211</v>
      </c>
      <c r="C8" s="65">
        <v>68</v>
      </c>
      <c r="D8" s="62" t="s">
        <v>210</v>
      </c>
    </row>
    <row r="9" spans="2:17" x14ac:dyDescent="0.3">
      <c r="B9" s="64" t="s">
        <v>212</v>
      </c>
      <c r="C9" s="65">
        <v>283</v>
      </c>
      <c r="D9" s="62" t="s">
        <v>210</v>
      </c>
    </row>
    <row r="10" spans="2:17" x14ac:dyDescent="0.3">
      <c r="B10" s="64" t="s">
        <v>213</v>
      </c>
      <c r="C10" s="70">
        <v>0.28999999999999998</v>
      </c>
      <c r="D10" s="62" t="s">
        <v>210</v>
      </c>
    </row>
    <row r="13" spans="2:17" x14ac:dyDescent="0.3">
      <c r="B13" s="66" t="s">
        <v>214</v>
      </c>
      <c r="C13" s="62" t="s">
        <v>215</v>
      </c>
    </row>
    <row r="37" spans="2:4" x14ac:dyDescent="0.3">
      <c r="B37" t="s">
        <v>216</v>
      </c>
      <c r="C37">
        <f>(125+300)/2</f>
        <v>212.5</v>
      </c>
      <c r="D37" t="s">
        <v>217</v>
      </c>
    </row>
    <row r="58" spans="2:3" x14ac:dyDescent="0.3">
      <c r="B58" s="62" t="s">
        <v>218</v>
      </c>
      <c r="C58" t="s">
        <v>219</v>
      </c>
    </row>
    <row r="86" spans="2:2" x14ac:dyDescent="0.3">
      <c r="B86" s="62" t="s">
        <v>220</v>
      </c>
    </row>
    <row r="96" spans="2:2" x14ac:dyDescent="0.3">
      <c r="B96" s="61" t="s">
        <v>221</v>
      </c>
    </row>
    <row r="107" spans="8:8" x14ac:dyDescent="0.3">
      <c r="H107" t="s">
        <v>222</v>
      </c>
    </row>
  </sheetData>
  <mergeCells count="1">
    <mergeCell ref="B1:N1"/>
  </mergeCells>
  <hyperlinks>
    <hyperlink ref="D4" r:id="rId1" display="https://nunatsiaq.com/stories/article/nunavut-health-minister-threatens-to-forward-medical-travel-bills-to-ottawa-over-lack-of-negotiations/" xr:uid="{3DFAD923-4B6F-4858-8E4E-41FCA16F0CCD}"/>
    <hyperlink ref="D7" r:id="rId2" display="https://www.fnha.ca/benefits/medical-transportation" xr:uid="{4E175891-F875-4AC9-9D3F-6478C04F73A0}"/>
    <hyperlink ref="D8" r:id="rId3" display="https://www.fnha.ca/benefits/medical-transportation" xr:uid="{BAC41FD2-8261-4E29-9929-5A75B6A117A4}"/>
    <hyperlink ref="D9" r:id="rId4" display="https://www.fnha.ca/benefits/medical-transportation" xr:uid="{16A6E894-7DC0-4A24-B71E-6726C131BA8E}"/>
    <hyperlink ref="D10" r:id="rId5" display="https://www.fnha.ca/benefits/medical-transportation" xr:uid="{39AAD580-5FF4-484D-A5E3-5A9E07559FA5}"/>
    <hyperlink ref="C13" r:id="rId6" xr:uid="{59D7324A-50D5-4C29-A58B-C0EBBD26326A}"/>
    <hyperlink ref="B58" r:id="rId7" location=":~:text=If%20you%20require%20medical%20care%20along%20the%20way%20and%20need,mile%20(%246.94%20per%20kilometre)" display="https://www.fraserhealth.ca/patients-and-visitors/billing-and-fees/patient-transportation-fees - :~:text=If%20you%20require%20medical%20care%20along%20the%20way%20and%20need,mile%20(%246.94%20per%20kilometre)" xr:uid="{976E0FB0-28FD-46BD-8205-208519AAC787}"/>
    <hyperlink ref="B86" r:id="rId8" display="https://www.islandhealth.ca/patients-visitors/fees-payments/patient-transportation-fees" xr:uid="{EBC1D055-67D3-435B-A332-0EF880BD3957}"/>
  </hyperlinks>
  <pageMargins left="0.7" right="0.7" top="0.75" bottom="0.75" header="0.3" footer="0.3"/>
  <drawing r:id="rId9"/>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1ACCE64DF164DAD019075A16E60B5" ma:contentTypeVersion="15" ma:contentTypeDescription="Create a new document." ma:contentTypeScope="" ma:versionID="74bbd027cdcdf0378022d0a43e95d6bd">
  <xsd:schema xmlns:xsd="http://www.w3.org/2001/XMLSchema" xmlns:xs="http://www.w3.org/2001/XMLSchema" xmlns:p="http://schemas.microsoft.com/office/2006/metadata/properties" xmlns:ns2="b7b71527-3a6c-44f7-8a7b-bf3ebd8265d5" xmlns:ns3="0c07d5ed-d56f-4588-96f6-eb49c5a8225d" targetNamespace="http://schemas.microsoft.com/office/2006/metadata/properties" ma:root="true" ma:fieldsID="bc8bb1474799367c04084cc50395387c" ns2:_="" ns3:_="">
    <xsd:import namespace="b7b71527-3a6c-44f7-8a7b-bf3ebd8265d5"/>
    <xsd:import namespace="0c07d5ed-d56f-4588-96f6-eb49c5a8225d"/>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Nombre"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7b71527-3a6c-44f7-8a7b-bf3ebd8265d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cef6305a-ccbd-47b0-9192-5fd62cbdc06e"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Nombre" ma:index="18" nillable="true" ma:displayName="Nombre" ma:format="Dropdown" ma:internalName="Nombre" ma:percentage="FALSE">
      <xsd:simpleType>
        <xsd:restriction base="dms:Number"/>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c07d5ed-d56f-4588-96f6-eb49c5a8225d"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3179a812-fbda-4a16-bec8-1f398245dbd3}" ma:internalName="TaxCatchAll" ma:showField="CatchAllData" ma:web="0c07d5ed-d56f-4588-96f6-eb49c5a8225d">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0c07d5ed-d56f-4588-96f6-eb49c5a8225d">
      <UserInfo>
        <DisplayName>veronique.lauzon</DisplayName>
        <AccountId>28</AccountId>
        <AccountType/>
      </UserInfo>
    </SharedWithUsers>
    <lcf76f155ced4ddcb4097134ff3c332f xmlns="b7b71527-3a6c-44f7-8a7b-bf3ebd8265d5">
      <Terms xmlns="http://schemas.microsoft.com/office/infopath/2007/PartnerControls"/>
    </lcf76f155ced4ddcb4097134ff3c332f>
    <Nombre xmlns="b7b71527-3a6c-44f7-8a7b-bf3ebd8265d5" xsi:nil="true"/>
    <TaxCatchAll xmlns="0c07d5ed-d56f-4588-96f6-eb49c5a8225d" xsi:nil="true"/>
  </documentManagement>
</p:properties>
</file>

<file path=customXml/itemProps1.xml><?xml version="1.0" encoding="utf-8"?>
<ds:datastoreItem xmlns:ds="http://schemas.openxmlformats.org/officeDocument/2006/customXml" ds:itemID="{8B90A9B0-38F6-418C-8723-65106C22DEC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7b71527-3a6c-44f7-8a7b-bf3ebd8265d5"/>
    <ds:schemaRef ds:uri="0c07d5ed-d56f-4588-96f6-eb49c5a8225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14E95B0-F060-4AD4-8153-0CBFC39E5334}">
  <ds:schemaRefs>
    <ds:schemaRef ds:uri="http://schemas.microsoft.com/sharepoint/v3/contenttype/forms"/>
  </ds:schemaRefs>
</ds:datastoreItem>
</file>

<file path=customXml/itemProps3.xml><?xml version="1.0" encoding="utf-8"?>
<ds:datastoreItem xmlns:ds="http://schemas.openxmlformats.org/officeDocument/2006/customXml" ds:itemID="{DE6CFD90-45A1-4C45-9E2B-B6FA5E7E7DF8}">
  <ds:schemaRefs>
    <ds:schemaRef ds:uri="http://schemas.microsoft.com/office/2006/metadata/properties"/>
    <ds:schemaRef ds:uri="http://schemas.microsoft.com/office/infopath/2007/PartnerControls"/>
    <ds:schemaRef ds:uri="0c07d5ed-d56f-4588-96f6-eb49c5a8225d"/>
    <ds:schemaRef ds:uri="b7b71527-3a6c-44f7-8a7b-bf3ebd8265d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49</vt:i4>
      </vt:variant>
    </vt:vector>
  </HeadingPairs>
  <TitlesOfParts>
    <vt:vector size="57" baseType="lpstr">
      <vt:lpstr>Instructions</vt:lpstr>
      <vt:lpstr>Cost calculator</vt:lpstr>
      <vt:lpstr>Results</vt:lpstr>
      <vt:lpstr>Additional NIHB costs</vt:lpstr>
      <vt:lpstr>List</vt:lpstr>
      <vt:lpstr>Model default 2</vt:lpstr>
      <vt:lpstr>Model default</vt:lpstr>
      <vt:lpstr>NIHB cost</vt:lpstr>
      <vt:lpstr>d_c_carer</vt:lpstr>
      <vt:lpstr>d_c_comp</vt:lpstr>
      <vt:lpstr>d_c_hosp</vt:lpstr>
      <vt:lpstr>d_c_medvac</vt:lpstr>
      <vt:lpstr>d_c_oral</vt:lpstr>
      <vt:lpstr>d_c_round</vt:lpstr>
      <vt:lpstr>d_c_xyd</vt:lpstr>
      <vt:lpstr>d_catheter_cost</vt:lpstr>
      <vt:lpstr>d_catheter_uti</vt:lpstr>
      <vt:lpstr>d_custom</vt:lpstr>
      <vt:lpstr>d_l_antib</vt:lpstr>
      <vt:lpstr>d_LoT</vt:lpstr>
      <vt:lpstr>d_minutes</vt:lpstr>
      <vt:lpstr>d_monitoring</vt:lpstr>
      <vt:lpstr>d_n</vt:lpstr>
      <vt:lpstr>d_n2</vt:lpstr>
      <vt:lpstr>d_out_nurse</vt:lpstr>
      <vt:lpstr>d_p_carer</vt:lpstr>
      <vt:lpstr>d_p_inpat_cath</vt:lpstr>
      <vt:lpstr>d_rates</vt:lpstr>
      <vt:lpstr>d_transport</vt:lpstr>
      <vt:lpstr>d_u_carer</vt:lpstr>
      <vt:lpstr>d_u_carer2</vt:lpstr>
      <vt:lpstr>r_c_carer</vt:lpstr>
      <vt:lpstr>r_c_comp</vt:lpstr>
      <vt:lpstr>r_c_hosp</vt:lpstr>
      <vt:lpstr>r_c_medvac</vt:lpstr>
      <vt:lpstr>r_c_oral</vt:lpstr>
      <vt:lpstr>r_c_xyd</vt:lpstr>
      <vt:lpstr>r_catheter_cost</vt:lpstr>
      <vt:lpstr>r_catheter_uti</vt:lpstr>
      <vt:lpstr>r_custom</vt:lpstr>
      <vt:lpstr>r_l_antib</vt:lpstr>
      <vt:lpstr>r_LoT</vt:lpstr>
      <vt:lpstr>r_minutes</vt:lpstr>
      <vt:lpstr>r_monitoring</vt:lpstr>
      <vt:lpstr>r_n</vt:lpstr>
      <vt:lpstr>r_n2</vt:lpstr>
      <vt:lpstr>r_out_nurse</vt:lpstr>
      <vt:lpstr>r_p_carer</vt:lpstr>
      <vt:lpstr>r_p_inpat_cath</vt:lpstr>
      <vt:lpstr>r_rates</vt:lpstr>
      <vt:lpstr>r_transport</vt:lpstr>
      <vt:lpstr>r_u_carer</vt:lpstr>
      <vt:lpstr>r_u_carer2</vt:lpstr>
      <vt:lpstr>setting_LoSopt</vt:lpstr>
      <vt:lpstr>setting_Vanco_dose</vt:lpstr>
      <vt:lpstr>setting_Xyd_dose</vt:lpstr>
      <vt:lpstr>YesNo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veronique lauzon</dc:creator>
  <cp:keywords/>
  <dc:description/>
  <cp:lastModifiedBy>Dagmara Chojecki</cp:lastModifiedBy>
  <cp:revision/>
  <dcterms:created xsi:type="dcterms:W3CDTF">2021-04-08T17:45:40Z</dcterms:created>
  <dcterms:modified xsi:type="dcterms:W3CDTF">2024-10-29T08:42:30Z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0x010100ECA1ACCE64DF164DAD019075A16E60B5</vt:lpwstr>
  </property>
  <property fmtid="{D5CDD505-2E9C-101B-9397-08002B2CF9AE}" pid="3" name="MediaServiceImageTags">
    <vt:lpwstr/>
  </property>
</Properties>
</file>